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3875" windowHeight="4200" firstSheet="1" activeTab="1"/>
  </bookViews>
  <sheets>
    <sheet name="ADCspectrum" sheetId="1" r:id="rId1"/>
    <sheet name="WaveForm" sheetId="2" r:id="rId2"/>
    <sheet name="NoiseRate" sheetId="3" r:id="rId3"/>
    <sheet name="HV_Gain" sheetId="4" r:id="rId4"/>
    <sheet name="HV_ChargeResolution" sheetId="5" r:id="rId5"/>
    <sheet name="HV_PVRatio" sheetId="6" r:id="rId6"/>
  </sheets>
  <definedNames/>
  <calcPr fullCalcOnLoad="1"/>
</workbook>
</file>

<file path=xl/sharedStrings.xml><?xml version="1.0" encoding="utf-8"?>
<sst xmlns="http://schemas.openxmlformats.org/spreadsheetml/2006/main" count="111" uniqueCount="38">
  <si>
    <t>Modelturm</t>
  </si>
  <si>
    <t>HV</t>
  </si>
  <si>
    <t>Gain</t>
  </si>
  <si>
    <t>Error</t>
  </si>
  <si>
    <t>ChargeRes</t>
  </si>
  <si>
    <t>qtau</t>
  </si>
  <si>
    <t>q0</t>
  </si>
  <si>
    <t>PVRatio</t>
  </si>
  <si>
    <t>Peak</t>
  </si>
  <si>
    <t>Valley</t>
  </si>
  <si>
    <t>TA0433</t>
  </si>
  <si>
    <t>TA0435</t>
  </si>
  <si>
    <t>TA0438</t>
  </si>
  <si>
    <t>TA0451</t>
  </si>
  <si>
    <t>TA0452</t>
  </si>
  <si>
    <t>TA0464</t>
  </si>
  <si>
    <t>TA0593</t>
  </si>
  <si>
    <t>TA0594</t>
  </si>
  <si>
    <t>TA0595</t>
  </si>
  <si>
    <t>TA0596</t>
  </si>
  <si>
    <t>TA0597</t>
  </si>
  <si>
    <t>TA0598</t>
  </si>
  <si>
    <t>qtau/q0</t>
  </si>
  <si>
    <t>PMT_Name</t>
  </si>
  <si>
    <t>100ns</t>
  </si>
  <si>
    <t>500ns</t>
  </si>
  <si>
    <t>800ns</t>
  </si>
  <si>
    <t>1us</t>
  </si>
  <si>
    <t>3us</t>
  </si>
  <si>
    <t>5us</t>
  </si>
  <si>
    <t>8us</t>
  </si>
  <si>
    <t>10us</t>
  </si>
  <si>
    <t>Model</t>
  </si>
  <si>
    <t>HV</t>
  </si>
  <si>
    <t>Sigma[ns]</t>
  </si>
  <si>
    <t>Sigma_Error</t>
  </si>
  <si>
    <t>pe</t>
  </si>
  <si>
    <t>pe_error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</si>
</sst>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  <numFmt numFmtId="178" formatCode="0_);[Red]\(0\)"/>
    <numFmt numFmtId="179" formatCode="0.00_);[Red]\(0.00\)"/>
  </numFmts>
  <fonts count="4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1" fontId="0" fillId="0" borderId="0" xfId="0" applyNumberFormat="1" applyAlignment="1">
      <alignment/>
    </xf>
    <xf numFmtId="176" fontId="0" fillId="0" borderId="0" xfId="0" applyNumberFormat="1" applyAlignment="1">
      <alignment/>
    </xf>
    <xf numFmtId="178" fontId="0" fillId="0" borderId="0" xfId="0" applyNumberFormat="1" applyAlignment="1">
      <alignment/>
    </xf>
    <xf numFmtId="179" fontId="0" fillId="0" borderId="0" xfId="0" applyNumberFormat="1" applyAlignment="1">
      <alignment/>
    </xf>
    <xf numFmtId="0" fontId="0" fillId="0" borderId="0" xfId="0" applyFont="1" applyAlignment="1">
      <alignment horizontal="center" shrinkToFit="1"/>
    </xf>
    <xf numFmtId="176" fontId="0" fillId="0" borderId="0" xfId="0" applyNumberFormat="1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chartsheet" Target="chartsheets/sheet3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17"/>
          <c:w val="0.874"/>
          <c:h val="0.9285"/>
        </c:manualLayout>
      </c:layout>
      <c:scatterChart>
        <c:scatterStyle val="lineMarker"/>
        <c:varyColors val="0"/>
        <c:ser>
          <c:idx val="0"/>
          <c:order val="0"/>
          <c:tx>
            <c:v>TA0593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ADCspectrum!$B$32:$B$36</c:f>
              <c:numCache>
                <c:ptCount val="5"/>
                <c:pt idx="0">
                  <c:v>1815</c:v>
                </c:pt>
                <c:pt idx="1">
                  <c:v>1865</c:v>
                </c:pt>
                <c:pt idx="2">
                  <c:v>1915</c:v>
                </c:pt>
                <c:pt idx="3">
                  <c:v>2015</c:v>
                </c:pt>
                <c:pt idx="4">
                  <c:v>2115</c:v>
                </c:pt>
              </c:numCache>
            </c:numRef>
          </c:xVal>
          <c:yVal>
            <c:numRef>
              <c:f>ADCspectrum!$C$32:$C$36</c:f>
              <c:numCache>
                <c:ptCount val="5"/>
                <c:pt idx="0">
                  <c:v>35478300</c:v>
                </c:pt>
                <c:pt idx="1">
                  <c:v>42004700</c:v>
                </c:pt>
                <c:pt idx="2">
                  <c:v>49421900</c:v>
                </c:pt>
                <c:pt idx="3">
                  <c:v>68335200</c:v>
                </c:pt>
                <c:pt idx="4">
                  <c:v>93370600</c:v>
                </c:pt>
              </c:numCache>
            </c:numRef>
          </c:yVal>
          <c:smooth val="0"/>
        </c:ser>
        <c:ser>
          <c:idx val="1"/>
          <c:order val="1"/>
          <c:tx>
            <c:v>TA0435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ADCspectrum!$B$7:$B$11</c:f>
              <c:numCache>
                <c:ptCount val="5"/>
                <c:pt idx="0">
                  <c:v>1705</c:v>
                </c:pt>
                <c:pt idx="1">
                  <c:v>1755</c:v>
                </c:pt>
                <c:pt idx="2">
                  <c:v>1805</c:v>
                </c:pt>
                <c:pt idx="3">
                  <c:v>1905</c:v>
                </c:pt>
                <c:pt idx="4">
                  <c:v>2005</c:v>
                </c:pt>
              </c:numCache>
            </c:numRef>
          </c:xVal>
          <c:yVal>
            <c:numRef>
              <c:f>ADCspectrum!$C$7:$C$11</c:f>
              <c:numCache>
                <c:ptCount val="5"/>
                <c:pt idx="0">
                  <c:v>34869100</c:v>
                </c:pt>
                <c:pt idx="1">
                  <c:v>41694000</c:v>
                </c:pt>
                <c:pt idx="2">
                  <c:v>50135900</c:v>
                </c:pt>
                <c:pt idx="3">
                  <c:v>71817500</c:v>
                </c:pt>
                <c:pt idx="4">
                  <c:v>102248000</c:v>
                </c:pt>
              </c:numCache>
            </c:numRef>
          </c:yVal>
          <c:smooth val="0"/>
        </c:ser>
        <c:ser>
          <c:idx val="2"/>
          <c:order val="2"/>
          <c:tx>
            <c:v>TA0438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ADCspectrum!$B$12:$B$16</c:f>
              <c:numCache>
                <c:ptCount val="5"/>
                <c:pt idx="0">
                  <c:v>1540</c:v>
                </c:pt>
                <c:pt idx="1">
                  <c:v>1590</c:v>
                </c:pt>
                <c:pt idx="2">
                  <c:v>1640</c:v>
                </c:pt>
                <c:pt idx="3">
                  <c:v>1740</c:v>
                </c:pt>
                <c:pt idx="4">
                  <c:v>1840</c:v>
                </c:pt>
              </c:numCache>
            </c:numRef>
          </c:xVal>
          <c:yVal>
            <c:numRef>
              <c:f>ADCspectrum!$C$12:$C$16</c:f>
              <c:numCache>
                <c:ptCount val="5"/>
                <c:pt idx="0">
                  <c:v>32771900</c:v>
                </c:pt>
                <c:pt idx="1">
                  <c:v>44108900</c:v>
                </c:pt>
                <c:pt idx="2">
                  <c:v>49769600</c:v>
                </c:pt>
                <c:pt idx="3">
                  <c:v>79168300</c:v>
                </c:pt>
                <c:pt idx="4">
                  <c:v>117886000</c:v>
                </c:pt>
              </c:numCache>
            </c:numRef>
          </c:yVal>
          <c:smooth val="0"/>
        </c:ser>
        <c:ser>
          <c:idx val="3"/>
          <c:order val="3"/>
          <c:tx>
            <c:v>TA0451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ADCspectrum!$B$17:$B$21</c:f>
              <c:numCache>
                <c:ptCount val="5"/>
                <c:pt idx="0">
                  <c:v>1760</c:v>
                </c:pt>
                <c:pt idx="1">
                  <c:v>1810</c:v>
                </c:pt>
                <c:pt idx="2">
                  <c:v>1860</c:v>
                </c:pt>
                <c:pt idx="3">
                  <c:v>1960</c:v>
                </c:pt>
                <c:pt idx="4">
                  <c:v>2060</c:v>
                </c:pt>
              </c:numCache>
            </c:numRef>
          </c:xVal>
          <c:yVal>
            <c:numRef>
              <c:f>ADCspectrum!$C$17:$C$21</c:f>
              <c:numCache>
                <c:ptCount val="5"/>
                <c:pt idx="0">
                  <c:v>35314100</c:v>
                </c:pt>
                <c:pt idx="1">
                  <c:v>41974700</c:v>
                </c:pt>
                <c:pt idx="2">
                  <c:v>49293300</c:v>
                </c:pt>
                <c:pt idx="3">
                  <c:v>71665900</c:v>
                </c:pt>
                <c:pt idx="4">
                  <c:v>99520400</c:v>
                </c:pt>
              </c:numCache>
            </c:numRef>
          </c:yVal>
          <c:smooth val="0"/>
        </c:ser>
        <c:ser>
          <c:idx val="4"/>
          <c:order val="4"/>
          <c:tx>
            <c:v>TA0464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ADCspectrum!$B$27:$B$31</c:f>
              <c:numCache>
                <c:ptCount val="5"/>
                <c:pt idx="0">
                  <c:v>1760</c:v>
                </c:pt>
                <c:pt idx="1">
                  <c:v>1810</c:v>
                </c:pt>
                <c:pt idx="2">
                  <c:v>1860</c:v>
                </c:pt>
                <c:pt idx="3">
                  <c:v>1960</c:v>
                </c:pt>
                <c:pt idx="4">
                  <c:v>2060</c:v>
                </c:pt>
              </c:numCache>
            </c:numRef>
          </c:xVal>
          <c:yVal>
            <c:numRef>
              <c:f>ADCspectrum!$C$27:$C$31</c:f>
              <c:numCache>
                <c:ptCount val="5"/>
                <c:pt idx="0">
                  <c:v>34923800</c:v>
                </c:pt>
                <c:pt idx="1">
                  <c:v>41316700</c:v>
                </c:pt>
                <c:pt idx="2">
                  <c:v>49849500</c:v>
                </c:pt>
                <c:pt idx="3">
                  <c:v>71694200</c:v>
                </c:pt>
                <c:pt idx="4">
                  <c:v>100951000</c:v>
                </c:pt>
              </c:numCache>
            </c:numRef>
          </c:yVal>
          <c:smooth val="0"/>
        </c:ser>
        <c:ser>
          <c:idx val="5"/>
          <c:order val="5"/>
          <c:tx>
            <c:v>TA0452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ADCspectrum!$B$22:$B$26</c:f>
              <c:numCache>
                <c:ptCount val="5"/>
                <c:pt idx="0">
                  <c:v>1965</c:v>
                </c:pt>
                <c:pt idx="1">
                  <c:v>2015</c:v>
                </c:pt>
                <c:pt idx="2">
                  <c:v>2065</c:v>
                </c:pt>
                <c:pt idx="3">
                  <c:v>2115</c:v>
                </c:pt>
                <c:pt idx="4">
                  <c:v>2165</c:v>
                </c:pt>
              </c:numCache>
            </c:numRef>
          </c:xVal>
          <c:yVal>
            <c:numRef>
              <c:f>ADCspectrum!$C$22:$C$26</c:f>
              <c:numCache>
                <c:ptCount val="5"/>
                <c:pt idx="0">
                  <c:v>32363300</c:v>
                </c:pt>
                <c:pt idx="1">
                  <c:v>37751000</c:v>
                </c:pt>
                <c:pt idx="2">
                  <c:v>43113500</c:v>
                </c:pt>
                <c:pt idx="3">
                  <c:v>49821100</c:v>
                </c:pt>
                <c:pt idx="4">
                  <c:v>58266800</c:v>
                </c:pt>
              </c:numCache>
            </c:numRef>
          </c:yVal>
          <c:smooth val="0"/>
        </c:ser>
        <c:ser>
          <c:idx val="6"/>
          <c:order val="6"/>
          <c:tx>
            <c:v>TA0594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0080"/>
              </a:solidFill>
              <a:ln>
                <a:solidFill>
                  <a:srgbClr val="003366"/>
                </a:solidFill>
              </a:ln>
            </c:spPr>
          </c:marker>
          <c:xVal>
            <c:numRef>
              <c:f>ADCspectrum!$B$37:$B$41</c:f>
              <c:numCache>
                <c:ptCount val="5"/>
                <c:pt idx="0">
                  <c:v>1795</c:v>
                </c:pt>
                <c:pt idx="1">
                  <c:v>1845</c:v>
                </c:pt>
                <c:pt idx="2">
                  <c:v>1895</c:v>
                </c:pt>
                <c:pt idx="3">
                  <c:v>1995</c:v>
                </c:pt>
                <c:pt idx="4">
                  <c:v>2095</c:v>
                </c:pt>
              </c:numCache>
            </c:numRef>
          </c:xVal>
          <c:yVal>
            <c:numRef>
              <c:f>ADCspectrum!$C$37:$C$41</c:f>
              <c:numCache>
                <c:ptCount val="5"/>
                <c:pt idx="0">
                  <c:v>35548500</c:v>
                </c:pt>
                <c:pt idx="1">
                  <c:v>41776700</c:v>
                </c:pt>
                <c:pt idx="2">
                  <c:v>49897000</c:v>
                </c:pt>
                <c:pt idx="3">
                  <c:v>69230500</c:v>
                </c:pt>
                <c:pt idx="4">
                  <c:v>96635200</c:v>
                </c:pt>
              </c:numCache>
            </c:numRef>
          </c:yVal>
          <c:smooth val="0"/>
        </c:ser>
        <c:ser>
          <c:idx val="7"/>
          <c:order val="7"/>
          <c:tx>
            <c:v>TA0595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ADCspectrum!$B$42:$B$46</c:f>
              <c:numCache>
                <c:ptCount val="5"/>
                <c:pt idx="0">
                  <c:v>1760</c:v>
                </c:pt>
                <c:pt idx="1">
                  <c:v>1810</c:v>
                </c:pt>
                <c:pt idx="2">
                  <c:v>1860</c:v>
                </c:pt>
                <c:pt idx="3">
                  <c:v>1960</c:v>
                </c:pt>
                <c:pt idx="4">
                  <c:v>2060</c:v>
                </c:pt>
              </c:numCache>
            </c:numRef>
          </c:xVal>
          <c:yVal>
            <c:numRef>
              <c:f>ADCspectrum!$C$42:$C$46</c:f>
              <c:numCache>
                <c:ptCount val="5"/>
                <c:pt idx="0">
                  <c:v>34967200</c:v>
                </c:pt>
                <c:pt idx="1">
                  <c:v>40897900</c:v>
                </c:pt>
                <c:pt idx="2">
                  <c:v>49295700</c:v>
                </c:pt>
                <c:pt idx="3">
                  <c:v>69747400</c:v>
                </c:pt>
                <c:pt idx="4">
                  <c:v>97605400</c:v>
                </c:pt>
              </c:numCache>
            </c:numRef>
          </c:yVal>
          <c:smooth val="0"/>
        </c:ser>
        <c:ser>
          <c:idx val="8"/>
          <c:order val="8"/>
          <c:tx>
            <c:v>TA0596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ADCspectrum!$B$47:$B$51</c:f>
              <c:numCache>
                <c:ptCount val="5"/>
                <c:pt idx="0">
                  <c:v>1600</c:v>
                </c:pt>
                <c:pt idx="1">
                  <c:v>1650</c:v>
                </c:pt>
                <c:pt idx="2">
                  <c:v>1700</c:v>
                </c:pt>
                <c:pt idx="3">
                  <c:v>1800</c:v>
                </c:pt>
                <c:pt idx="4">
                  <c:v>1900</c:v>
                </c:pt>
              </c:numCache>
            </c:numRef>
          </c:xVal>
          <c:yVal>
            <c:numRef>
              <c:f>ADCspectrum!$C$47:$C$51</c:f>
              <c:numCache>
                <c:ptCount val="5"/>
                <c:pt idx="0">
                  <c:v>33303400</c:v>
                </c:pt>
                <c:pt idx="1">
                  <c:v>40885300</c:v>
                </c:pt>
                <c:pt idx="2">
                  <c:v>50229300</c:v>
                </c:pt>
                <c:pt idx="3">
                  <c:v>75590800</c:v>
                </c:pt>
                <c:pt idx="4">
                  <c:v>113042000</c:v>
                </c:pt>
              </c:numCache>
            </c:numRef>
          </c:yVal>
          <c:smooth val="0"/>
        </c:ser>
        <c:ser>
          <c:idx val="9"/>
          <c:order val="9"/>
          <c:tx>
            <c:v>TA0597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660066"/>
              </a:solidFill>
              <a:ln>
                <a:solidFill>
                  <a:srgbClr val="660066"/>
                </a:solidFill>
              </a:ln>
            </c:spPr>
          </c:marker>
          <c:xVal>
            <c:numRef>
              <c:f>ADCspectrum!$B$52:$B$56</c:f>
              <c:numCache>
                <c:ptCount val="5"/>
                <c:pt idx="0">
                  <c:v>1610</c:v>
                </c:pt>
                <c:pt idx="1">
                  <c:v>1660</c:v>
                </c:pt>
                <c:pt idx="2">
                  <c:v>1710</c:v>
                </c:pt>
                <c:pt idx="3">
                  <c:v>1810</c:v>
                </c:pt>
                <c:pt idx="4">
                  <c:v>1910</c:v>
                </c:pt>
              </c:numCache>
            </c:numRef>
          </c:xVal>
          <c:yVal>
            <c:numRef>
              <c:f>ADCspectrum!$C$52:$C$56</c:f>
              <c:numCache>
                <c:ptCount val="5"/>
                <c:pt idx="0">
                  <c:v>34253800</c:v>
                </c:pt>
                <c:pt idx="1">
                  <c:v>41238500</c:v>
                </c:pt>
                <c:pt idx="2">
                  <c:v>50076500</c:v>
                </c:pt>
                <c:pt idx="3">
                  <c:v>74214000</c:v>
                </c:pt>
                <c:pt idx="4">
                  <c:v>109401000</c:v>
                </c:pt>
              </c:numCache>
            </c:numRef>
          </c:yVal>
          <c:smooth val="0"/>
        </c:ser>
        <c:ser>
          <c:idx val="10"/>
          <c:order val="10"/>
          <c:tx>
            <c:v>TA0598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ADCspectrum!$B$57:$B$61</c:f>
              <c:numCache>
                <c:ptCount val="5"/>
                <c:pt idx="0">
                  <c:v>1580</c:v>
                </c:pt>
                <c:pt idx="1">
                  <c:v>1630</c:v>
                </c:pt>
                <c:pt idx="2">
                  <c:v>1680</c:v>
                </c:pt>
                <c:pt idx="3">
                  <c:v>1780</c:v>
                </c:pt>
                <c:pt idx="4">
                  <c:v>1880</c:v>
                </c:pt>
              </c:numCache>
            </c:numRef>
          </c:xVal>
          <c:yVal>
            <c:numRef>
              <c:f>ADCspectrum!$C$57:$C$61</c:f>
              <c:numCache>
                <c:ptCount val="5"/>
                <c:pt idx="0">
                  <c:v>33220700</c:v>
                </c:pt>
                <c:pt idx="1">
                  <c:v>41374300</c:v>
                </c:pt>
                <c:pt idx="2">
                  <c:v>50431800</c:v>
                </c:pt>
                <c:pt idx="3">
                  <c:v>75152800</c:v>
                </c:pt>
                <c:pt idx="4">
                  <c:v>112809000</c:v>
                </c:pt>
              </c:numCache>
            </c:numRef>
          </c:yVal>
          <c:smooth val="0"/>
        </c:ser>
        <c:ser>
          <c:idx val="11"/>
          <c:order val="11"/>
          <c:tx>
            <c:v>TA0433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ADCspectrum!$B$2:$B$6</c:f>
              <c:numCache>
                <c:ptCount val="5"/>
                <c:pt idx="0">
                  <c:v>1700</c:v>
                </c:pt>
                <c:pt idx="1">
                  <c:v>1750</c:v>
                </c:pt>
                <c:pt idx="2">
                  <c:v>1800</c:v>
                </c:pt>
                <c:pt idx="3">
                  <c:v>1900</c:v>
                </c:pt>
                <c:pt idx="4">
                  <c:v>2000</c:v>
                </c:pt>
              </c:numCache>
            </c:numRef>
          </c:xVal>
          <c:yVal>
            <c:numRef>
              <c:f>ADCspectrum!$C$2:$C$6</c:f>
              <c:numCache>
                <c:ptCount val="5"/>
                <c:pt idx="0">
                  <c:v>35356000</c:v>
                </c:pt>
                <c:pt idx="1">
                  <c:v>42314400</c:v>
                </c:pt>
                <c:pt idx="2">
                  <c:v>51440200</c:v>
                </c:pt>
                <c:pt idx="3">
                  <c:v>74984300</c:v>
                </c:pt>
                <c:pt idx="4">
                  <c:v>109535000</c:v>
                </c:pt>
              </c:numCache>
            </c:numRef>
          </c:yVal>
          <c:smooth val="0"/>
        </c:ser>
        <c:axId val="47953243"/>
        <c:axId val="28926004"/>
      </c:scatterChart>
      <c:valAx>
        <c:axId val="47953243"/>
        <c:scaling>
          <c:orientation val="minMax"/>
          <c:max val="2200"/>
          <c:min val="15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ＭＳ Ｐゴシック"/>
                    <a:ea typeface="ＭＳ Ｐゴシック"/>
                    <a:cs typeface="ＭＳ Ｐゴシック"/>
                  </a:rPr>
                  <a:t>HV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926004"/>
        <c:crosses val="autoZero"/>
        <c:crossBetween val="midCat"/>
        <c:dispUnits/>
      </c:valAx>
      <c:valAx>
        <c:axId val="289260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ＭＳ Ｐゴシック"/>
                    <a:ea typeface="ＭＳ Ｐゴシック"/>
                    <a:cs typeface="ＭＳ Ｐゴシック"/>
                  </a:rPr>
                  <a:t>Gain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953243"/>
        <c:crosses val="autoZero"/>
        <c:crossBetween val="midCat"/>
        <c:dispUnits/>
      </c:valAx>
      <c:spPr>
        <a:noFill/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7375"/>
          <c:w val="0.078"/>
          <c:h val="0.454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"/>
          <c:y val="0.017"/>
          <c:w val="0.864"/>
          <c:h val="0.91475"/>
        </c:manualLayout>
      </c:layout>
      <c:scatterChart>
        <c:scatterStyle val="lineMarker"/>
        <c:varyColors val="0"/>
        <c:ser>
          <c:idx val="0"/>
          <c:order val="0"/>
          <c:tx>
            <c:v>TA0433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ADCspectrum!$B$2:$B$6</c:f>
              <c:numCache>
                <c:ptCount val="5"/>
                <c:pt idx="0">
                  <c:v>1700</c:v>
                </c:pt>
                <c:pt idx="1">
                  <c:v>1750</c:v>
                </c:pt>
                <c:pt idx="2">
                  <c:v>1800</c:v>
                </c:pt>
                <c:pt idx="3">
                  <c:v>1900</c:v>
                </c:pt>
                <c:pt idx="4">
                  <c:v>2000</c:v>
                </c:pt>
              </c:numCache>
            </c:numRef>
          </c:xVal>
          <c:yVal>
            <c:numRef>
              <c:f>ADCspectrum!$E$2:$E$6</c:f>
              <c:numCache>
                <c:ptCount val="5"/>
                <c:pt idx="0">
                  <c:v>0.240152</c:v>
                </c:pt>
                <c:pt idx="1">
                  <c:v>0.24132</c:v>
                </c:pt>
                <c:pt idx="2">
                  <c:v>0.2659</c:v>
                </c:pt>
                <c:pt idx="3">
                  <c:v>0.275896</c:v>
                </c:pt>
                <c:pt idx="4">
                  <c:v>0.269336</c:v>
                </c:pt>
              </c:numCache>
            </c:numRef>
          </c:yVal>
          <c:smooth val="0"/>
        </c:ser>
        <c:ser>
          <c:idx val="1"/>
          <c:order val="1"/>
          <c:tx>
            <c:v>TA0435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ADCspectrum!$B$7:$B$11</c:f>
              <c:numCache>
                <c:ptCount val="5"/>
                <c:pt idx="0">
                  <c:v>1705</c:v>
                </c:pt>
                <c:pt idx="1">
                  <c:v>1755</c:v>
                </c:pt>
                <c:pt idx="2">
                  <c:v>1805</c:v>
                </c:pt>
                <c:pt idx="3">
                  <c:v>1905</c:v>
                </c:pt>
                <c:pt idx="4">
                  <c:v>2005</c:v>
                </c:pt>
              </c:numCache>
            </c:numRef>
          </c:xVal>
          <c:yVal>
            <c:numRef>
              <c:f>ADCspectrum!$E$7:$E$11</c:f>
              <c:numCache>
                <c:ptCount val="5"/>
                <c:pt idx="0">
                  <c:v>0.256493</c:v>
                </c:pt>
                <c:pt idx="1">
                  <c:v>0.271843</c:v>
                </c:pt>
                <c:pt idx="2">
                  <c:v>0.278503</c:v>
                </c:pt>
                <c:pt idx="3">
                  <c:v>0.296842</c:v>
                </c:pt>
                <c:pt idx="4">
                  <c:v>0.297381</c:v>
                </c:pt>
              </c:numCache>
            </c:numRef>
          </c:yVal>
          <c:smooth val="0"/>
        </c:ser>
        <c:ser>
          <c:idx val="2"/>
          <c:order val="2"/>
          <c:tx>
            <c:v>TA0438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ADCspectrum!$B$12:$B$16</c:f>
              <c:numCache>
                <c:ptCount val="5"/>
                <c:pt idx="0">
                  <c:v>1540</c:v>
                </c:pt>
                <c:pt idx="1">
                  <c:v>1590</c:v>
                </c:pt>
                <c:pt idx="2">
                  <c:v>1640</c:v>
                </c:pt>
                <c:pt idx="3">
                  <c:v>1740</c:v>
                </c:pt>
                <c:pt idx="4">
                  <c:v>1840</c:v>
                </c:pt>
              </c:numCache>
            </c:numRef>
          </c:xVal>
          <c:yVal>
            <c:numRef>
              <c:f>ADCspectrum!$E$12:$E$16</c:f>
              <c:numCache>
                <c:ptCount val="5"/>
                <c:pt idx="0">
                  <c:v>0.25481</c:v>
                </c:pt>
                <c:pt idx="1">
                  <c:v>0.263239</c:v>
                </c:pt>
                <c:pt idx="2">
                  <c:v>0.289998</c:v>
                </c:pt>
                <c:pt idx="3">
                  <c:v>0.289539</c:v>
                </c:pt>
                <c:pt idx="4">
                  <c:v>0.288342</c:v>
                </c:pt>
              </c:numCache>
            </c:numRef>
          </c:yVal>
          <c:smooth val="0"/>
        </c:ser>
        <c:ser>
          <c:idx val="3"/>
          <c:order val="3"/>
          <c:tx>
            <c:v>TA0451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ADCspectrum!$B$17:$B$21</c:f>
              <c:numCache>
                <c:ptCount val="5"/>
                <c:pt idx="0">
                  <c:v>1760</c:v>
                </c:pt>
                <c:pt idx="1">
                  <c:v>1810</c:v>
                </c:pt>
                <c:pt idx="2">
                  <c:v>1860</c:v>
                </c:pt>
                <c:pt idx="3">
                  <c:v>1960</c:v>
                </c:pt>
                <c:pt idx="4">
                  <c:v>2060</c:v>
                </c:pt>
              </c:numCache>
            </c:numRef>
          </c:xVal>
          <c:yVal>
            <c:numRef>
              <c:f>ADCspectrum!$E$17:$E$21</c:f>
              <c:numCache>
                <c:ptCount val="5"/>
                <c:pt idx="0">
                  <c:v>0.286009</c:v>
                </c:pt>
                <c:pt idx="1">
                  <c:v>0.299287</c:v>
                </c:pt>
                <c:pt idx="2">
                  <c:v>0.336735</c:v>
                </c:pt>
                <c:pt idx="3">
                  <c:v>0.308757</c:v>
                </c:pt>
                <c:pt idx="4">
                  <c:v>0.339886</c:v>
                </c:pt>
              </c:numCache>
            </c:numRef>
          </c:yVal>
          <c:smooth val="0"/>
        </c:ser>
        <c:ser>
          <c:idx val="4"/>
          <c:order val="4"/>
          <c:tx>
            <c:v>TA0452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ADCspectrum!$B$22:$B$26</c:f>
              <c:numCache>
                <c:ptCount val="5"/>
                <c:pt idx="0">
                  <c:v>1965</c:v>
                </c:pt>
                <c:pt idx="1">
                  <c:v>2015</c:v>
                </c:pt>
                <c:pt idx="2">
                  <c:v>2065</c:v>
                </c:pt>
                <c:pt idx="3">
                  <c:v>2115</c:v>
                </c:pt>
                <c:pt idx="4">
                  <c:v>2165</c:v>
                </c:pt>
              </c:numCache>
            </c:numRef>
          </c:xVal>
          <c:yVal>
            <c:numRef>
              <c:f>ADCspectrum!$E$22:$E$26</c:f>
              <c:numCache>
                <c:ptCount val="5"/>
                <c:pt idx="0">
                  <c:v>0.272177</c:v>
                </c:pt>
                <c:pt idx="1">
                  <c:v>0.268385</c:v>
                </c:pt>
                <c:pt idx="2">
                  <c:v>0.279087</c:v>
                </c:pt>
                <c:pt idx="3">
                  <c:v>0.298601</c:v>
                </c:pt>
                <c:pt idx="4">
                  <c:v>0.284868</c:v>
                </c:pt>
              </c:numCache>
            </c:numRef>
          </c:yVal>
          <c:smooth val="0"/>
        </c:ser>
        <c:ser>
          <c:idx val="5"/>
          <c:order val="5"/>
          <c:tx>
            <c:v>TA0464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ADCspectrum!$B$27:$B$31</c:f>
              <c:numCache>
                <c:ptCount val="5"/>
                <c:pt idx="0">
                  <c:v>1760</c:v>
                </c:pt>
                <c:pt idx="1">
                  <c:v>1810</c:v>
                </c:pt>
                <c:pt idx="2">
                  <c:v>1860</c:v>
                </c:pt>
                <c:pt idx="3">
                  <c:v>1960</c:v>
                </c:pt>
                <c:pt idx="4">
                  <c:v>2060</c:v>
                </c:pt>
              </c:numCache>
            </c:numRef>
          </c:xVal>
          <c:yVal>
            <c:numRef>
              <c:f>ADCspectrum!$E$27:$E$31</c:f>
              <c:numCache>
                <c:ptCount val="5"/>
                <c:pt idx="0">
                  <c:v>0.24335</c:v>
                </c:pt>
                <c:pt idx="1">
                  <c:v>0.272449</c:v>
                </c:pt>
                <c:pt idx="2">
                  <c:v>0.263804</c:v>
                </c:pt>
                <c:pt idx="3">
                  <c:v>0.262103</c:v>
                </c:pt>
                <c:pt idx="4">
                  <c:v>0.26024</c:v>
                </c:pt>
              </c:numCache>
            </c:numRef>
          </c:yVal>
          <c:smooth val="0"/>
        </c:ser>
        <c:ser>
          <c:idx val="6"/>
          <c:order val="6"/>
          <c:tx>
            <c:v>TA0593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ADCspectrum!$B$32:$B$36</c:f>
              <c:numCache>
                <c:ptCount val="5"/>
                <c:pt idx="0">
                  <c:v>1815</c:v>
                </c:pt>
                <c:pt idx="1">
                  <c:v>1865</c:v>
                </c:pt>
                <c:pt idx="2">
                  <c:v>1915</c:v>
                </c:pt>
                <c:pt idx="3">
                  <c:v>2015</c:v>
                </c:pt>
                <c:pt idx="4">
                  <c:v>2115</c:v>
                </c:pt>
              </c:numCache>
            </c:numRef>
          </c:xVal>
          <c:yVal>
            <c:numRef>
              <c:f>ADCspectrum!$E$32:$E$36</c:f>
              <c:numCache>
                <c:ptCount val="5"/>
                <c:pt idx="0">
                  <c:v>0.304329</c:v>
                </c:pt>
                <c:pt idx="1">
                  <c:v>0.329201</c:v>
                </c:pt>
                <c:pt idx="2">
                  <c:v>0.3432</c:v>
                </c:pt>
                <c:pt idx="3">
                  <c:v>0.372014</c:v>
                </c:pt>
                <c:pt idx="4">
                  <c:v>0.387503</c:v>
                </c:pt>
              </c:numCache>
            </c:numRef>
          </c:yVal>
          <c:smooth val="0"/>
        </c:ser>
        <c:ser>
          <c:idx val="7"/>
          <c:order val="7"/>
          <c:tx>
            <c:v>TA0594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ADCspectrum!$B$37:$B$41</c:f>
              <c:numCache>
                <c:ptCount val="5"/>
                <c:pt idx="0">
                  <c:v>1795</c:v>
                </c:pt>
                <c:pt idx="1">
                  <c:v>1845</c:v>
                </c:pt>
                <c:pt idx="2">
                  <c:v>1895</c:v>
                </c:pt>
                <c:pt idx="3">
                  <c:v>1995</c:v>
                </c:pt>
                <c:pt idx="4">
                  <c:v>2095</c:v>
                </c:pt>
              </c:numCache>
            </c:numRef>
          </c:xVal>
          <c:yVal>
            <c:numRef>
              <c:f>ADCspectrum!$E$37:$E$41</c:f>
              <c:numCache>
                <c:ptCount val="5"/>
                <c:pt idx="0">
                  <c:v>0.280987</c:v>
                </c:pt>
                <c:pt idx="1">
                  <c:v>0.300823</c:v>
                </c:pt>
                <c:pt idx="2">
                  <c:v>0.324617</c:v>
                </c:pt>
                <c:pt idx="3">
                  <c:v>0.346519</c:v>
                </c:pt>
                <c:pt idx="4">
                  <c:v>0.34822</c:v>
                </c:pt>
              </c:numCache>
            </c:numRef>
          </c:yVal>
          <c:smooth val="0"/>
        </c:ser>
        <c:ser>
          <c:idx val="8"/>
          <c:order val="8"/>
          <c:tx>
            <c:v>TA0595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xVal>
            <c:numRef>
              <c:f>ADCspectrum!$B$42:$B$46</c:f>
              <c:numCache>
                <c:ptCount val="5"/>
                <c:pt idx="0">
                  <c:v>1760</c:v>
                </c:pt>
                <c:pt idx="1">
                  <c:v>1810</c:v>
                </c:pt>
                <c:pt idx="2">
                  <c:v>1860</c:v>
                </c:pt>
                <c:pt idx="3">
                  <c:v>1960</c:v>
                </c:pt>
                <c:pt idx="4">
                  <c:v>2060</c:v>
                </c:pt>
              </c:numCache>
            </c:numRef>
          </c:xVal>
          <c:yVal>
            <c:numRef>
              <c:f>ADCspectrum!$E$42:$E$46</c:f>
              <c:numCache>
                <c:ptCount val="5"/>
                <c:pt idx="0">
                  <c:v>0.264071</c:v>
                </c:pt>
                <c:pt idx="1">
                  <c:v>0.295775</c:v>
                </c:pt>
                <c:pt idx="2">
                  <c:v>0.313123</c:v>
                </c:pt>
                <c:pt idx="3">
                  <c:v>0.336551</c:v>
                </c:pt>
                <c:pt idx="4">
                  <c:v>0.342252</c:v>
                </c:pt>
              </c:numCache>
            </c:numRef>
          </c:yVal>
          <c:smooth val="0"/>
        </c:ser>
        <c:ser>
          <c:idx val="9"/>
          <c:order val="9"/>
          <c:tx>
            <c:v>TA0596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ADCspectrum!$B$47:$B$51</c:f>
              <c:numCache>
                <c:ptCount val="5"/>
                <c:pt idx="0">
                  <c:v>1600</c:v>
                </c:pt>
                <c:pt idx="1">
                  <c:v>1650</c:v>
                </c:pt>
                <c:pt idx="2">
                  <c:v>1700</c:v>
                </c:pt>
                <c:pt idx="3">
                  <c:v>1800</c:v>
                </c:pt>
                <c:pt idx="4">
                  <c:v>1900</c:v>
                </c:pt>
              </c:numCache>
            </c:numRef>
          </c:xVal>
          <c:yVal>
            <c:numRef>
              <c:f>ADCspectrum!$E$47:$E$51</c:f>
              <c:numCache>
                <c:ptCount val="5"/>
                <c:pt idx="0">
                  <c:v>0.227049</c:v>
                </c:pt>
                <c:pt idx="1">
                  <c:v>0.247926</c:v>
                </c:pt>
                <c:pt idx="2">
                  <c:v>0.260948</c:v>
                </c:pt>
                <c:pt idx="3">
                  <c:v>0.273765</c:v>
                </c:pt>
                <c:pt idx="4">
                  <c:v>0.261391</c:v>
                </c:pt>
              </c:numCache>
            </c:numRef>
          </c:yVal>
          <c:smooth val="0"/>
        </c:ser>
        <c:ser>
          <c:idx val="10"/>
          <c:order val="10"/>
          <c:tx>
            <c:v>TA0597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ADCspectrum!$B$52:$B$56</c:f>
              <c:numCache>
                <c:ptCount val="5"/>
                <c:pt idx="0">
                  <c:v>1610</c:v>
                </c:pt>
                <c:pt idx="1">
                  <c:v>1660</c:v>
                </c:pt>
                <c:pt idx="2">
                  <c:v>1710</c:v>
                </c:pt>
                <c:pt idx="3">
                  <c:v>1810</c:v>
                </c:pt>
                <c:pt idx="4">
                  <c:v>1910</c:v>
                </c:pt>
              </c:numCache>
            </c:numRef>
          </c:xVal>
          <c:yVal>
            <c:numRef>
              <c:f>ADCspectrum!$E$52:$E$56</c:f>
              <c:numCache>
                <c:ptCount val="5"/>
                <c:pt idx="0">
                  <c:v>0.226681</c:v>
                </c:pt>
                <c:pt idx="1">
                  <c:v>0.248492</c:v>
                </c:pt>
                <c:pt idx="2">
                  <c:v>0.256976</c:v>
                </c:pt>
                <c:pt idx="3">
                  <c:v>0.277203</c:v>
                </c:pt>
                <c:pt idx="4">
                  <c:v>0.275775</c:v>
                </c:pt>
              </c:numCache>
            </c:numRef>
          </c:yVal>
          <c:smooth val="0"/>
        </c:ser>
        <c:ser>
          <c:idx val="11"/>
          <c:order val="11"/>
          <c:tx>
            <c:v>TA0598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ADCspectrum!$B$57:$B$61</c:f>
              <c:numCache>
                <c:ptCount val="5"/>
                <c:pt idx="0">
                  <c:v>1580</c:v>
                </c:pt>
                <c:pt idx="1">
                  <c:v>1630</c:v>
                </c:pt>
                <c:pt idx="2">
                  <c:v>1680</c:v>
                </c:pt>
                <c:pt idx="3">
                  <c:v>1780</c:v>
                </c:pt>
                <c:pt idx="4">
                  <c:v>1880</c:v>
                </c:pt>
              </c:numCache>
            </c:numRef>
          </c:xVal>
          <c:yVal>
            <c:numRef>
              <c:f>ADCspectrum!$E$57:$E$61</c:f>
              <c:numCache>
                <c:ptCount val="5"/>
                <c:pt idx="0">
                  <c:v>0.236415</c:v>
                </c:pt>
                <c:pt idx="1">
                  <c:v>0.244168</c:v>
                </c:pt>
                <c:pt idx="2">
                  <c:v>0.25469</c:v>
                </c:pt>
                <c:pt idx="3">
                  <c:v>0.271361</c:v>
                </c:pt>
                <c:pt idx="4">
                  <c:v>0.265966</c:v>
                </c:pt>
              </c:numCache>
            </c:numRef>
          </c:yVal>
          <c:smooth val="0"/>
        </c:ser>
        <c:axId val="59007445"/>
        <c:axId val="61304958"/>
      </c:scatterChart>
      <c:valAx>
        <c:axId val="59007445"/>
        <c:scaling>
          <c:orientation val="minMax"/>
          <c:max val="2200"/>
          <c:min val="15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ＭＳ Ｐゴシック"/>
                    <a:ea typeface="ＭＳ Ｐゴシック"/>
                    <a:cs typeface="ＭＳ Ｐゴシック"/>
                  </a:rPr>
                  <a:t>HV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304958"/>
        <c:crosses val="autoZero"/>
        <c:crossBetween val="midCat"/>
        <c:dispUnits/>
      </c:valAx>
      <c:valAx>
        <c:axId val="613049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ＭＳ Ｐゴシック"/>
                    <a:ea typeface="ＭＳ Ｐゴシック"/>
                    <a:cs typeface="ＭＳ Ｐゴシック"/>
                  </a:rPr>
                  <a:t>Charge Resolution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00744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625"/>
          <c:y val="0.21475"/>
          <c:w val="0.0885"/>
          <c:h val="0.454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"/>
          <c:y val="0.017"/>
          <c:w val="0.86425"/>
          <c:h val="0.91475"/>
        </c:manualLayout>
      </c:layout>
      <c:scatterChart>
        <c:scatterStyle val="lineMarker"/>
        <c:varyColors val="0"/>
        <c:ser>
          <c:idx val="0"/>
          <c:order val="0"/>
          <c:tx>
            <c:v>TA0433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ADCspectrum!$B$2:$B$6</c:f>
              <c:numCache>
                <c:ptCount val="5"/>
                <c:pt idx="0">
                  <c:v>1700</c:v>
                </c:pt>
                <c:pt idx="1">
                  <c:v>1750</c:v>
                </c:pt>
                <c:pt idx="2">
                  <c:v>1800</c:v>
                </c:pt>
                <c:pt idx="3">
                  <c:v>1900</c:v>
                </c:pt>
                <c:pt idx="4">
                  <c:v>2000</c:v>
                </c:pt>
              </c:numCache>
            </c:numRef>
          </c:xVal>
          <c:yVal>
            <c:numRef>
              <c:f>ADCspectrum!$I$2:$I$6</c:f>
              <c:numCache>
                <c:ptCount val="5"/>
                <c:pt idx="0">
                  <c:v>3.585657370517928</c:v>
                </c:pt>
                <c:pt idx="1">
                  <c:v>4.739130434782608</c:v>
                </c:pt>
                <c:pt idx="2">
                  <c:v>4.496894409937888</c:v>
                </c:pt>
                <c:pt idx="3">
                  <c:v>5.594936708860759</c:v>
                </c:pt>
                <c:pt idx="4">
                  <c:v>6.454545454545454</c:v>
                </c:pt>
              </c:numCache>
            </c:numRef>
          </c:yVal>
          <c:smooth val="0"/>
        </c:ser>
        <c:ser>
          <c:idx val="1"/>
          <c:order val="1"/>
          <c:tx>
            <c:v>TA0435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ADCspectrum!$B$7:$B$11</c:f>
              <c:numCache>
                <c:ptCount val="5"/>
                <c:pt idx="0">
                  <c:v>1705</c:v>
                </c:pt>
                <c:pt idx="1">
                  <c:v>1755</c:v>
                </c:pt>
                <c:pt idx="2">
                  <c:v>1805</c:v>
                </c:pt>
                <c:pt idx="3">
                  <c:v>1905</c:v>
                </c:pt>
                <c:pt idx="4">
                  <c:v>2005</c:v>
                </c:pt>
              </c:numCache>
            </c:numRef>
          </c:xVal>
          <c:yVal>
            <c:numRef>
              <c:f>ADCspectrum!$I$7:$I$11</c:f>
              <c:numCache>
                <c:ptCount val="5"/>
                <c:pt idx="0">
                  <c:v>3.8849557522123894</c:v>
                </c:pt>
                <c:pt idx="1">
                  <c:v>4.458333333333333</c:v>
                </c:pt>
                <c:pt idx="2">
                  <c:v>4.779816513761468</c:v>
                </c:pt>
                <c:pt idx="3">
                  <c:v>5.320754716981132</c:v>
                </c:pt>
                <c:pt idx="4">
                  <c:v>6.666666666666667</c:v>
                </c:pt>
              </c:numCache>
            </c:numRef>
          </c:yVal>
          <c:smooth val="0"/>
        </c:ser>
        <c:ser>
          <c:idx val="2"/>
          <c:order val="2"/>
          <c:tx>
            <c:v>TA0438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xVal>
            <c:numRef>
              <c:f>ADCspectrum!$B$12:$B$16</c:f>
              <c:numCache>
                <c:ptCount val="5"/>
                <c:pt idx="0">
                  <c:v>1540</c:v>
                </c:pt>
                <c:pt idx="1">
                  <c:v>1590</c:v>
                </c:pt>
                <c:pt idx="2">
                  <c:v>1640</c:v>
                </c:pt>
                <c:pt idx="3">
                  <c:v>1740</c:v>
                </c:pt>
                <c:pt idx="4">
                  <c:v>1840</c:v>
                </c:pt>
              </c:numCache>
            </c:numRef>
          </c:xVal>
          <c:yVal>
            <c:numRef>
              <c:f>ADCspectrum!$I$12:$I$16</c:f>
              <c:numCache>
                <c:ptCount val="5"/>
                <c:pt idx="0">
                  <c:v>3.268370607028754</c:v>
                </c:pt>
                <c:pt idx="1">
                  <c:v>3.6440677966101696</c:v>
                </c:pt>
                <c:pt idx="2">
                  <c:v>4.971223021582734</c:v>
                </c:pt>
                <c:pt idx="3">
                  <c:v>5.470588235294118</c:v>
                </c:pt>
                <c:pt idx="4">
                  <c:v>5.220338983050848</c:v>
                </c:pt>
              </c:numCache>
            </c:numRef>
          </c:yVal>
          <c:smooth val="0"/>
        </c:ser>
        <c:ser>
          <c:idx val="3"/>
          <c:order val="3"/>
          <c:tx>
            <c:v>TA0451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xVal>
            <c:numRef>
              <c:f>ADCspectrum!$B$17:$B$21</c:f>
              <c:numCache>
                <c:ptCount val="5"/>
                <c:pt idx="0">
                  <c:v>1760</c:v>
                </c:pt>
                <c:pt idx="1">
                  <c:v>1810</c:v>
                </c:pt>
                <c:pt idx="2">
                  <c:v>1860</c:v>
                </c:pt>
                <c:pt idx="3">
                  <c:v>1960</c:v>
                </c:pt>
                <c:pt idx="4">
                  <c:v>2060</c:v>
                </c:pt>
              </c:numCache>
            </c:numRef>
          </c:xVal>
          <c:yVal>
            <c:numRef>
              <c:f>ADCspectrum!$I$17:$I$21</c:f>
              <c:numCache>
                <c:ptCount val="5"/>
                <c:pt idx="0">
                  <c:v>2.884105960264901</c:v>
                </c:pt>
                <c:pt idx="1">
                  <c:v>2.983050847457627</c:v>
                </c:pt>
                <c:pt idx="2">
                  <c:v>3.3203125</c:v>
                </c:pt>
                <c:pt idx="3">
                  <c:v>4.191588785046729</c:v>
                </c:pt>
                <c:pt idx="4">
                  <c:v>4.0520231213872835</c:v>
                </c:pt>
              </c:numCache>
            </c:numRef>
          </c:yVal>
          <c:smooth val="0"/>
        </c:ser>
        <c:ser>
          <c:idx val="4"/>
          <c:order val="4"/>
          <c:tx>
            <c:v>TA0452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ADCspectrum!$B$22:$B$26</c:f>
              <c:numCache>
                <c:ptCount val="5"/>
                <c:pt idx="0">
                  <c:v>1965</c:v>
                </c:pt>
                <c:pt idx="1">
                  <c:v>2015</c:v>
                </c:pt>
                <c:pt idx="2">
                  <c:v>2065</c:v>
                </c:pt>
                <c:pt idx="3">
                  <c:v>2115</c:v>
                </c:pt>
                <c:pt idx="4">
                  <c:v>2165</c:v>
                </c:pt>
              </c:numCache>
            </c:numRef>
          </c:xVal>
          <c:yVal>
            <c:numRef>
              <c:f>ADCspectrum!$I$22:$I$26</c:f>
              <c:numCache>
                <c:ptCount val="5"/>
                <c:pt idx="0">
                  <c:v>3.268965517241379</c:v>
                </c:pt>
                <c:pt idx="1">
                  <c:v>3.67458432304038</c:v>
                </c:pt>
                <c:pt idx="2">
                  <c:v>4.230769230769231</c:v>
                </c:pt>
                <c:pt idx="3">
                  <c:v>5.191964285714286</c:v>
                </c:pt>
                <c:pt idx="4">
                  <c:v>5.2894736842105265</c:v>
                </c:pt>
              </c:numCache>
            </c:numRef>
          </c:yVal>
          <c:smooth val="0"/>
        </c:ser>
        <c:ser>
          <c:idx val="5"/>
          <c:order val="5"/>
          <c:tx>
            <c:v>TA0464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ADCspectrum!$B$27:$B$31</c:f>
              <c:numCache>
                <c:ptCount val="5"/>
                <c:pt idx="0">
                  <c:v>1760</c:v>
                </c:pt>
                <c:pt idx="1">
                  <c:v>1810</c:v>
                </c:pt>
                <c:pt idx="2">
                  <c:v>1860</c:v>
                </c:pt>
                <c:pt idx="3">
                  <c:v>1960</c:v>
                </c:pt>
                <c:pt idx="4">
                  <c:v>2060</c:v>
                </c:pt>
              </c:numCache>
            </c:numRef>
          </c:xVal>
          <c:yVal>
            <c:numRef>
              <c:f>ADCspectrum!$I$27:$I$31</c:f>
              <c:numCache>
                <c:ptCount val="5"/>
                <c:pt idx="0">
                  <c:v>3.487858719646799</c:v>
                </c:pt>
                <c:pt idx="1">
                  <c:v>4.518796992481203</c:v>
                </c:pt>
                <c:pt idx="2">
                  <c:v>4.776785714285714</c:v>
                </c:pt>
                <c:pt idx="3">
                  <c:v>5.836734693877551</c:v>
                </c:pt>
                <c:pt idx="4">
                  <c:v>6.37037037037037</c:v>
                </c:pt>
              </c:numCache>
            </c:numRef>
          </c:yVal>
          <c:smooth val="0"/>
        </c:ser>
        <c:ser>
          <c:idx val="6"/>
          <c:order val="6"/>
          <c:tx>
            <c:v>TA0593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ADCspectrum!$B$32:$B$36</c:f>
              <c:numCache>
                <c:ptCount val="5"/>
                <c:pt idx="0">
                  <c:v>1815</c:v>
                </c:pt>
                <c:pt idx="1">
                  <c:v>1865</c:v>
                </c:pt>
                <c:pt idx="2">
                  <c:v>1915</c:v>
                </c:pt>
                <c:pt idx="3">
                  <c:v>2015</c:v>
                </c:pt>
                <c:pt idx="4">
                  <c:v>2115</c:v>
                </c:pt>
              </c:numCache>
            </c:numRef>
          </c:xVal>
          <c:yVal>
            <c:numRef>
              <c:f>ADCspectrum!$I$32:$I$36</c:f>
              <c:numCache>
                <c:ptCount val="5"/>
                <c:pt idx="0">
                  <c:v>2.4012184508268057</c:v>
                </c:pt>
                <c:pt idx="1">
                  <c:v>2.5749718151071024</c:v>
                </c:pt>
                <c:pt idx="2">
                  <c:v>3.013595166163142</c:v>
                </c:pt>
                <c:pt idx="3">
                  <c:v>3.349740932642487</c:v>
                </c:pt>
                <c:pt idx="4">
                  <c:v>3.7627737226277373</c:v>
                </c:pt>
              </c:numCache>
            </c:numRef>
          </c:yVal>
          <c:smooth val="0"/>
        </c:ser>
        <c:ser>
          <c:idx val="7"/>
          <c:order val="7"/>
          <c:tx>
            <c:v>TA0594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ADCspectrum!$B$37:$B$41</c:f>
              <c:numCache>
                <c:ptCount val="5"/>
                <c:pt idx="0">
                  <c:v>1795</c:v>
                </c:pt>
                <c:pt idx="1">
                  <c:v>1845</c:v>
                </c:pt>
                <c:pt idx="2">
                  <c:v>1895</c:v>
                </c:pt>
                <c:pt idx="3">
                  <c:v>1995</c:v>
                </c:pt>
                <c:pt idx="4">
                  <c:v>2095</c:v>
                </c:pt>
              </c:numCache>
            </c:numRef>
          </c:xVal>
          <c:yVal>
            <c:numRef>
              <c:f>ADCspectrum!$I$37:$I$41</c:f>
              <c:numCache>
                <c:ptCount val="5"/>
                <c:pt idx="0">
                  <c:v>3.893617021276596</c:v>
                </c:pt>
                <c:pt idx="1">
                  <c:v>3.395348837209302</c:v>
                </c:pt>
                <c:pt idx="2">
                  <c:v>3.8222222222222224</c:v>
                </c:pt>
                <c:pt idx="3">
                  <c:v>4.479166666666667</c:v>
                </c:pt>
                <c:pt idx="4">
                  <c:v>4.550387596899225</c:v>
                </c:pt>
              </c:numCache>
            </c:numRef>
          </c:yVal>
          <c:smooth val="0"/>
        </c:ser>
        <c:ser>
          <c:idx val="8"/>
          <c:order val="8"/>
          <c:tx>
            <c:v>TA0595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ADCspectrum!$B$42:$B$46</c:f>
              <c:numCache>
                <c:ptCount val="5"/>
                <c:pt idx="0">
                  <c:v>1760</c:v>
                </c:pt>
                <c:pt idx="1">
                  <c:v>1810</c:v>
                </c:pt>
                <c:pt idx="2">
                  <c:v>1860</c:v>
                </c:pt>
                <c:pt idx="3">
                  <c:v>1960</c:v>
                </c:pt>
                <c:pt idx="4">
                  <c:v>2060</c:v>
                </c:pt>
              </c:numCache>
            </c:numRef>
          </c:xVal>
          <c:yVal>
            <c:numRef>
              <c:f>ADCspectrum!$I$42:$I$46</c:f>
              <c:numCache>
                <c:ptCount val="5"/>
                <c:pt idx="0">
                  <c:v>2.928716904276986</c:v>
                </c:pt>
                <c:pt idx="1">
                  <c:v>3.217821782178218</c:v>
                </c:pt>
                <c:pt idx="2">
                  <c:v>3.3731884057971016</c:v>
                </c:pt>
                <c:pt idx="3">
                  <c:v>4.276073619631902</c:v>
                </c:pt>
                <c:pt idx="4">
                  <c:v>4.6138613861386135</c:v>
                </c:pt>
              </c:numCache>
            </c:numRef>
          </c:yVal>
          <c:smooth val="0"/>
        </c:ser>
        <c:ser>
          <c:idx val="9"/>
          <c:order val="9"/>
          <c:tx>
            <c:v>TA0596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ADCspectrum!$B$47:$B$51</c:f>
              <c:numCache>
                <c:ptCount val="5"/>
                <c:pt idx="0">
                  <c:v>1600</c:v>
                </c:pt>
                <c:pt idx="1">
                  <c:v>1650</c:v>
                </c:pt>
                <c:pt idx="2">
                  <c:v>1700</c:v>
                </c:pt>
                <c:pt idx="3">
                  <c:v>1800</c:v>
                </c:pt>
                <c:pt idx="4">
                  <c:v>1900</c:v>
                </c:pt>
              </c:numCache>
            </c:numRef>
          </c:xVal>
          <c:yVal>
            <c:numRef>
              <c:f>ADCspectrum!$I$47:$I$51</c:f>
              <c:numCache>
                <c:ptCount val="5"/>
                <c:pt idx="0">
                  <c:v>3.532710280373832</c:v>
                </c:pt>
                <c:pt idx="1">
                  <c:v>3.5350877192982457</c:v>
                </c:pt>
                <c:pt idx="2">
                  <c:v>4.2032967032967035</c:v>
                </c:pt>
                <c:pt idx="3">
                  <c:v>4.64957264957265</c:v>
                </c:pt>
                <c:pt idx="4">
                  <c:v>5.138461538461539</c:v>
                </c:pt>
              </c:numCache>
            </c:numRef>
          </c:yVal>
          <c:smooth val="0"/>
        </c:ser>
        <c:ser>
          <c:idx val="10"/>
          <c:order val="10"/>
          <c:tx>
            <c:v>TA0597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ADCspectrum!$B$52:$B$56</c:f>
              <c:numCache>
                <c:ptCount val="5"/>
                <c:pt idx="0">
                  <c:v>1610</c:v>
                </c:pt>
                <c:pt idx="1">
                  <c:v>1660</c:v>
                </c:pt>
                <c:pt idx="2">
                  <c:v>1710</c:v>
                </c:pt>
                <c:pt idx="3">
                  <c:v>1810</c:v>
                </c:pt>
                <c:pt idx="4">
                  <c:v>1910</c:v>
                </c:pt>
              </c:numCache>
            </c:numRef>
          </c:xVal>
          <c:yVal>
            <c:numRef>
              <c:f>ADCspectrum!$I$52:$I$56</c:f>
              <c:numCache>
                <c:ptCount val="5"/>
                <c:pt idx="0">
                  <c:v>3.1586402266288953</c:v>
                </c:pt>
                <c:pt idx="1">
                  <c:v>3.923076923076923</c:v>
                </c:pt>
                <c:pt idx="2">
                  <c:v>4.828767123287672</c:v>
                </c:pt>
                <c:pt idx="3">
                  <c:v>4.861111111111111</c:v>
                </c:pt>
                <c:pt idx="4">
                  <c:v>5.413333333333333</c:v>
                </c:pt>
              </c:numCache>
            </c:numRef>
          </c:yVal>
          <c:smooth val="0"/>
        </c:ser>
        <c:ser>
          <c:idx val="11"/>
          <c:order val="11"/>
          <c:tx>
            <c:v>TA0598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ADCspectrum!$B$57:$B$61</c:f>
              <c:numCache>
                <c:ptCount val="5"/>
                <c:pt idx="0">
                  <c:v>1580</c:v>
                </c:pt>
                <c:pt idx="1">
                  <c:v>1630</c:v>
                </c:pt>
                <c:pt idx="2">
                  <c:v>1680</c:v>
                </c:pt>
                <c:pt idx="3">
                  <c:v>1780</c:v>
                </c:pt>
                <c:pt idx="4">
                  <c:v>1880</c:v>
                </c:pt>
              </c:numCache>
            </c:numRef>
          </c:xVal>
          <c:yVal>
            <c:numRef>
              <c:f>ADCspectrum!$I$57:$I$61</c:f>
              <c:numCache>
                <c:ptCount val="5"/>
                <c:pt idx="0">
                  <c:v>4.632352941176471</c:v>
                </c:pt>
                <c:pt idx="1">
                  <c:v>4.641891891891892</c:v>
                </c:pt>
                <c:pt idx="2">
                  <c:v>5.009345794392523</c:v>
                </c:pt>
                <c:pt idx="3">
                  <c:v>8</c:v>
                </c:pt>
                <c:pt idx="4">
                  <c:v>6.095238095238095</c:v>
                </c:pt>
              </c:numCache>
            </c:numRef>
          </c:yVal>
          <c:smooth val="0"/>
        </c:ser>
        <c:axId val="14873711"/>
        <c:axId val="66754536"/>
      </c:scatterChart>
      <c:valAx>
        <c:axId val="14873711"/>
        <c:scaling>
          <c:orientation val="minMax"/>
          <c:max val="2200"/>
          <c:min val="15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ＭＳ Ｐゴシック"/>
                    <a:ea typeface="ＭＳ Ｐゴシック"/>
                    <a:cs typeface="ＭＳ Ｐゴシック"/>
                  </a:rPr>
                  <a:t>HV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754536"/>
        <c:crosses val="autoZero"/>
        <c:crossBetween val="midCat"/>
        <c:dispUnits/>
      </c:valAx>
      <c:valAx>
        <c:axId val="667545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ＭＳ Ｐゴシック"/>
                    <a:ea typeface="ＭＳ Ｐゴシック"/>
                    <a:cs typeface="ＭＳ Ｐゴシック"/>
                  </a:rPr>
                  <a:t>Peak to Valley Ratio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87371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15"/>
          <c:y val="0.218"/>
          <c:w val="0.08725"/>
          <c:h val="0.477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12" footer="0.512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12" footer="0.51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12" footer="0.51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1"/>
  <sheetViews>
    <sheetView workbookViewId="0" topLeftCell="A1">
      <pane xSplit="3" ySplit="1" topLeftCell="F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N7" sqref="N7"/>
    </sheetView>
  </sheetViews>
  <sheetFormatPr defaultColWidth="9.00390625" defaultRowHeight="13.5"/>
  <cols>
    <col min="3" max="3" width="10.50390625" style="1" bestFit="1" customWidth="1"/>
    <col min="4" max="6" width="9.00390625" style="1" customWidth="1"/>
    <col min="7" max="8" width="9.00390625" style="3" customWidth="1"/>
    <col min="9" max="9" width="9.00390625" style="4" customWidth="1"/>
    <col min="10" max="11" width="9.00390625" style="2" customWidth="1"/>
    <col min="13" max="13" width="9.00390625" style="4" customWidth="1"/>
    <col min="14" max="14" width="9.00390625" style="1" customWidth="1"/>
  </cols>
  <sheetData>
    <row r="1" spans="1:14" ht="13.5">
      <c r="A1" t="s">
        <v>0</v>
      </c>
      <c r="B1" t="s">
        <v>1</v>
      </c>
      <c r="C1" s="1" t="s">
        <v>2</v>
      </c>
      <c r="D1" s="1" t="s">
        <v>3</v>
      </c>
      <c r="E1" s="1" t="s">
        <v>4</v>
      </c>
      <c r="F1" s="1" t="s">
        <v>3</v>
      </c>
      <c r="G1" s="3" t="s">
        <v>8</v>
      </c>
      <c r="H1" s="3" t="s">
        <v>9</v>
      </c>
      <c r="I1" s="4" t="s">
        <v>7</v>
      </c>
      <c r="J1" s="2" t="s">
        <v>5</v>
      </c>
      <c r="K1" s="2" t="s">
        <v>6</v>
      </c>
      <c r="L1" t="s">
        <v>22</v>
      </c>
      <c r="M1" s="4" t="s">
        <v>36</v>
      </c>
      <c r="N1" s="1" t="s">
        <v>37</v>
      </c>
    </row>
    <row r="2" spans="1:14" ht="13.5">
      <c r="A2" t="s">
        <v>10</v>
      </c>
      <c r="B2">
        <v>1700</v>
      </c>
      <c r="C2" s="1">
        <v>35356000</v>
      </c>
      <c r="D2" s="1">
        <v>108700</v>
      </c>
      <c r="E2" s="1">
        <v>0.240152</v>
      </c>
      <c r="F2" s="1">
        <v>0.00314379</v>
      </c>
      <c r="G2" s="3">
        <v>900</v>
      </c>
      <c r="H2" s="3">
        <v>251</v>
      </c>
      <c r="I2" s="4">
        <f>G2/H2</f>
        <v>3.585657370517928</v>
      </c>
      <c r="J2" s="2">
        <v>9.97847</v>
      </c>
      <c r="K2" s="2">
        <v>22.6278</v>
      </c>
      <c r="L2" s="2">
        <f>J2/K2</f>
        <v>0.4409827734026286</v>
      </c>
      <c r="M2" s="4">
        <v>0.23352</v>
      </c>
      <c r="N2" s="1">
        <v>0.00895843</v>
      </c>
    </row>
    <row r="3" spans="1:14" ht="13.5">
      <c r="A3" t="s">
        <v>10</v>
      </c>
      <c r="B3">
        <v>1750</v>
      </c>
      <c r="C3" s="1">
        <v>42314400</v>
      </c>
      <c r="D3" s="1">
        <v>255058</v>
      </c>
      <c r="E3" s="1">
        <v>0.24132</v>
      </c>
      <c r="F3" s="1">
        <v>0.00592971</v>
      </c>
      <c r="G3" s="3">
        <v>218</v>
      </c>
      <c r="H3" s="3">
        <v>46</v>
      </c>
      <c r="I3" s="4">
        <f>G3/H3</f>
        <v>4.739130434782608</v>
      </c>
      <c r="J3" s="2">
        <v>13.3108</v>
      </c>
      <c r="K3" s="2">
        <v>27.0812</v>
      </c>
      <c r="L3" s="2">
        <f aca="true" t="shared" si="0" ref="L3:L61">J3/K3</f>
        <v>0.4915144085195634</v>
      </c>
      <c r="M3" s="4">
        <v>0.20673</v>
      </c>
      <c r="N3" s="1">
        <v>0.0142484</v>
      </c>
    </row>
    <row r="4" spans="1:14" ht="13.5">
      <c r="A4" t="s">
        <v>10</v>
      </c>
      <c r="B4">
        <v>1800</v>
      </c>
      <c r="C4" s="1">
        <v>51440200</v>
      </c>
      <c r="D4" s="1">
        <v>154568</v>
      </c>
      <c r="E4" s="1">
        <v>0.2659</v>
      </c>
      <c r="F4" s="1">
        <v>0.00287197</v>
      </c>
      <c r="G4" s="3">
        <v>724</v>
      </c>
      <c r="H4" s="3">
        <v>161</v>
      </c>
      <c r="I4" s="4">
        <f aca="true" t="shared" si="1" ref="I2:I61">G4/H4</f>
        <v>4.496894409937888</v>
      </c>
      <c r="J4" s="2">
        <v>16.2764</v>
      </c>
      <c r="K4" s="2">
        <v>32.9217</v>
      </c>
      <c r="L4" s="2">
        <f t="shared" si="0"/>
        <v>0.4943973124109629</v>
      </c>
      <c r="M4" s="4">
        <v>0.186747</v>
      </c>
      <c r="N4" s="1">
        <v>0.00591912</v>
      </c>
    </row>
    <row r="5" spans="1:14" ht="13.5">
      <c r="A5" t="s">
        <v>10</v>
      </c>
      <c r="B5">
        <v>1900</v>
      </c>
      <c r="C5" s="1">
        <v>74984300</v>
      </c>
      <c r="D5" s="1">
        <v>255801</v>
      </c>
      <c r="E5" s="1">
        <v>0.275896</v>
      </c>
      <c r="F5" s="1">
        <v>0.00335639</v>
      </c>
      <c r="G5" s="3">
        <v>442</v>
      </c>
      <c r="H5" s="3">
        <v>79</v>
      </c>
      <c r="I5" s="4">
        <f t="shared" si="1"/>
        <v>5.594936708860759</v>
      </c>
      <c r="J5" s="2">
        <v>24.0329</v>
      </c>
      <c r="K5" s="2">
        <v>47.99</v>
      </c>
      <c r="L5" s="2">
        <f t="shared" si="0"/>
        <v>0.5007897478641383</v>
      </c>
      <c r="M5" s="4">
        <v>0.208239</v>
      </c>
      <c r="N5" s="1">
        <v>0.00550733</v>
      </c>
    </row>
    <row r="6" spans="1:14" ht="13.5">
      <c r="A6" t="s">
        <v>10</v>
      </c>
      <c r="B6">
        <v>2000</v>
      </c>
      <c r="C6" s="1">
        <v>109535000</v>
      </c>
      <c r="D6" s="1">
        <v>767693</v>
      </c>
      <c r="E6" s="1">
        <v>0.269336</v>
      </c>
      <c r="F6" s="1">
        <v>0.00781556</v>
      </c>
      <c r="G6" s="3">
        <v>71</v>
      </c>
      <c r="H6" s="3">
        <v>11</v>
      </c>
      <c r="I6" s="4">
        <f t="shared" si="1"/>
        <v>6.454545454545454</v>
      </c>
      <c r="J6" s="2">
        <v>38.0249</v>
      </c>
      <c r="K6" s="2">
        <v>70.1021</v>
      </c>
      <c r="L6" s="2">
        <f t="shared" si="0"/>
        <v>0.5424216963543176</v>
      </c>
      <c r="M6" s="4">
        <v>0.213059</v>
      </c>
      <c r="N6" s="1">
        <v>0.0104026</v>
      </c>
    </row>
    <row r="7" spans="1:14" ht="13.5">
      <c r="A7" t="s">
        <v>11</v>
      </c>
      <c r="B7">
        <v>1705</v>
      </c>
      <c r="C7" s="1">
        <v>34869100</v>
      </c>
      <c r="D7" s="1">
        <v>172563</v>
      </c>
      <c r="E7" s="1">
        <v>0.256493</v>
      </c>
      <c r="F7" s="1">
        <v>0.00469696</v>
      </c>
      <c r="G7" s="3">
        <v>439</v>
      </c>
      <c r="H7" s="3">
        <v>113</v>
      </c>
      <c r="I7" s="4">
        <f>G7/H7</f>
        <v>3.8849557522123894</v>
      </c>
      <c r="J7" s="2">
        <v>9.09102</v>
      </c>
      <c r="K7" s="2">
        <v>22.3162</v>
      </c>
      <c r="L7" s="2">
        <f t="shared" si="0"/>
        <v>0.4073731190794132</v>
      </c>
      <c r="M7" s="4">
        <v>0.251502</v>
      </c>
      <c r="N7" s="1">
        <v>0.0128164</v>
      </c>
    </row>
    <row r="8" spans="1:14" ht="13.5">
      <c r="A8" t="s">
        <v>11</v>
      </c>
      <c r="B8">
        <v>1755</v>
      </c>
      <c r="C8" s="1">
        <v>41694000</v>
      </c>
      <c r="D8" s="1">
        <v>209234</v>
      </c>
      <c r="E8" s="1">
        <v>0.271843</v>
      </c>
      <c r="F8" s="1">
        <v>0.00444082</v>
      </c>
      <c r="G8" s="3">
        <v>749</v>
      </c>
      <c r="H8" s="3">
        <v>168</v>
      </c>
      <c r="I8" s="4">
        <f t="shared" si="1"/>
        <v>4.458333333333333</v>
      </c>
      <c r="J8" s="2">
        <v>15.2461</v>
      </c>
      <c r="K8" s="2">
        <v>26.6842</v>
      </c>
      <c r="L8" s="2">
        <f t="shared" si="0"/>
        <v>0.5713530853463847</v>
      </c>
      <c r="M8" s="4">
        <v>0.172969</v>
      </c>
      <c r="N8" s="1">
        <v>0.0165615</v>
      </c>
    </row>
    <row r="9" spans="1:14" ht="13.5">
      <c r="A9" t="s">
        <v>11</v>
      </c>
      <c r="B9">
        <v>1805</v>
      </c>
      <c r="C9" s="1">
        <v>50135900</v>
      </c>
      <c r="D9" s="1">
        <v>255847</v>
      </c>
      <c r="E9" s="1">
        <v>0.278503</v>
      </c>
      <c r="F9" s="1">
        <v>0.00460317</v>
      </c>
      <c r="G9" s="3">
        <v>521</v>
      </c>
      <c r="H9" s="3">
        <v>109</v>
      </c>
      <c r="I9" s="4">
        <f t="shared" si="1"/>
        <v>4.779816513761468</v>
      </c>
      <c r="J9" s="2">
        <v>16.6174</v>
      </c>
      <c r="K9" s="2">
        <v>32.082</v>
      </c>
      <c r="L9" s="2">
        <f t="shared" si="0"/>
        <v>0.5179664609438314</v>
      </c>
      <c r="M9" s="4">
        <v>0.215774</v>
      </c>
      <c r="N9" s="1">
        <v>0.0137992</v>
      </c>
    </row>
    <row r="10" spans="1:14" ht="13.5">
      <c r="A10" t="s">
        <v>11</v>
      </c>
      <c r="B10">
        <v>1905</v>
      </c>
      <c r="C10" s="1">
        <v>71817500</v>
      </c>
      <c r="D10" s="1">
        <v>385337</v>
      </c>
      <c r="E10" s="1">
        <v>0.296842</v>
      </c>
      <c r="F10" s="1">
        <v>0.0049767</v>
      </c>
      <c r="G10" s="3">
        <v>282</v>
      </c>
      <c r="H10" s="3">
        <v>53</v>
      </c>
      <c r="I10" s="4">
        <f t="shared" si="1"/>
        <v>5.320754716981132</v>
      </c>
      <c r="J10" s="2">
        <v>24.153</v>
      </c>
      <c r="K10" s="2">
        <v>45.9632</v>
      </c>
      <c r="L10" s="2">
        <f t="shared" si="0"/>
        <v>0.5254856058760051</v>
      </c>
      <c r="M10" s="4">
        <v>0.225401</v>
      </c>
      <c r="N10" s="1">
        <v>0.00971422</v>
      </c>
    </row>
    <row r="11" spans="1:14" ht="13.5">
      <c r="A11" t="s">
        <v>11</v>
      </c>
      <c r="B11">
        <v>2005</v>
      </c>
      <c r="C11" s="1">
        <v>102248000</v>
      </c>
      <c r="D11" s="1">
        <v>582892</v>
      </c>
      <c r="E11" s="1">
        <v>0.297381</v>
      </c>
      <c r="F11" s="1">
        <v>0.0033821</v>
      </c>
      <c r="G11" s="3">
        <v>160</v>
      </c>
      <c r="H11" s="3">
        <v>24</v>
      </c>
      <c r="I11" s="4">
        <f t="shared" si="1"/>
        <v>6.666666666666667</v>
      </c>
      <c r="J11" s="2">
        <v>36.6085</v>
      </c>
      <c r="K11" s="2">
        <v>65.4385</v>
      </c>
      <c r="L11" s="2">
        <f t="shared" si="0"/>
        <v>0.5594336667252457</v>
      </c>
      <c r="M11" s="4">
        <v>0.229802</v>
      </c>
      <c r="N11" s="1">
        <v>0.00837804</v>
      </c>
    </row>
    <row r="12" spans="1:14" ht="13.5">
      <c r="A12" t="s">
        <v>12</v>
      </c>
      <c r="B12">
        <v>1540</v>
      </c>
      <c r="C12" s="1">
        <v>32771900</v>
      </c>
      <c r="D12" s="1">
        <v>175741</v>
      </c>
      <c r="E12" s="1">
        <v>0.25481</v>
      </c>
      <c r="F12" s="1">
        <v>0.00504961</v>
      </c>
      <c r="G12" s="3">
        <v>1023</v>
      </c>
      <c r="H12" s="3">
        <v>313</v>
      </c>
      <c r="I12" s="4">
        <f t="shared" si="1"/>
        <v>3.268370607028754</v>
      </c>
      <c r="J12" s="2">
        <v>9.24802</v>
      </c>
      <c r="K12" s="2">
        <v>20.974</v>
      </c>
      <c r="L12" s="2">
        <f t="shared" si="0"/>
        <v>0.4409278153904835</v>
      </c>
      <c r="M12" s="4">
        <v>0.2273</v>
      </c>
      <c r="N12" s="1">
        <v>0.0193539</v>
      </c>
    </row>
    <row r="13" spans="1:14" ht="13.5">
      <c r="A13" t="s">
        <v>12</v>
      </c>
      <c r="B13">
        <v>1590</v>
      </c>
      <c r="C13" s="1">
        <v>44108900</v>
      </c>
      <c r="D13" s="1">
        <v>182284</v>
      </c>
      <c r="E13" s="1">
        <v>0.263239</v>
      </c>
      <c r="F13" s="1">
        <v>0.0037354</v>
      </c>
      <c r="G13" s="3">
        <v>860</v>
      </c>
      <c r="H13" s="3">
        <v>236</v>
      </c>
      <c r="I13" s="4">
        <f t="shared" si="1"/>
        <v>3.6440677966101696</v>
      </c>
      <c r="J13" s="2">
        <v>13.8956</v>
      </c>
      <c r="K13" s="2">
        <v>28.2297</v>
      </c>
      <c r="L13" s="2">
        <f t="shared" si="0"/>
        <v>0.4922333570672022</v>
      </c>
      <c r="M13" s="4">
        <v>0.164124</v>
      </c>
      <c r="N13" s="1">
        <v>0.0150167</v>
      </c>
    </row>
    <row r="14" spans="1:14" ht="13.5">
      <c r="A14" t="s">
        <v>12</v>
      </c>
      <c r="B14">
        <v>1640</v>
      </c>
      <c r="C14" s="1">
        <v>49769600</v>
      </c>
      <c r="D14" s="1">
        <v>206690</v>
      </c>
      <c r="E14" s="1">
        <v>0.289998</v>
      </c>
      <c r="F14" s="1">
        <v>0.0040912</v>
      </c>
      <c r="G14" s="3">
        <v>691</v>
      </c>
      <c r="H14" s="3">
        <v>139</v>
      </c>
      <c r="I14" s="4">
        <f t="shared" si="1"/>
        <v>4.971223021582734</v>
      </c>
      <c r="J14" s="2">
        <v>18.7594</v>
      </c>
      <c r="K14" s="2">
        <v>31.8525</v>
      </c>
      <c r="L14" s="2">
        <f t="shared" si="0"/>
        <v>0.5889459226120398</v>
      </c>
      <c r="M14" s="4">
        <v>0.187165</v>
      </c>
      <c r="N14" s="1">
        <v>0.00840167</v>
      </c>
    </row>
    <row r="15" spans="1:14" ht="13.5">
      <c r="A15" t="s">
        <v>12</v>
      </c>
      <c r="B15">
        <v>1740</v>
      </c>
      <c r="C15" s="1">
        <v>79168300</v>
      </c>
      <c r="D15" s="1">
        <v>287038</v>
      </c>
      <c r="E15" s="1">
        <v>0.289539</v>
      </c>
      <c r="F15" s="1">
        <v>0.00345404</v>
      </c>
      <c r="G15" s="3">
        <v>465</v>
      </c>
      <c r="H15" s="3">
        <v>85</v>
      </c>
      <c r="I15" s="4">
        <f t="shared" si="1"/>
        <v>5.470588235294118</v>
      </c>
      <c r="J15" s="2">
        <v>28.0993</v>
      </c>
      <c r="K15" s="2">
        <v>50.6677</v>
      </c>
      <c r="L15" s="2">
        <f t="shared" si="0"/>
        <v>0.5545801368524721</v>
      </c>
      <c r="M15" s="4">
        <v>0.206428</v>
      </c>
      <c r="N15" s="1">
        <v>0.00628189</v>
      </c>
    </row>
    <row r="16" spans="1:14" ht="13.5">
      <c r="A16" t="s">
        <v>12</v>
      </c>
      <c r="B16">
        <v>1840</v>
      </c>
      <c r="C16" s="1">
        <v>117886000</v>
      </c>
      <c r="D16" s="1">
        <v>408385</v>
      </c>
      <c r="E16" s="1">
        <v>0.288342</v>
      </c>
      <c r="F16" s="1">
        <v>0.0033084</v>
      </c>
      <c r="G16" s="3">
        <v>308</v>
      </c>
      <c r="H16" s="3">
        <v>59</v>
      </c>
      <c r="I16" s="4">
        <f t="shared" si="1"/>
        <v>5.220338983050848</v>
      </c>
      <c r="J16" s="2">
        <v>42.5691</v>
      </c>
      <c r="K16" s="2">
        <v>75.4468</v>
      </c>
      <c r="L16" s="2">
        <f t="shared" si="0"/>
        <v>0.5642267133927483</v>
      </c>
      <c r="M16" s="4">
        <v>0.22227</v>
      </c>
      <c r="N16" s="1">
        <v>0.00543629</v>
      </c>
    </row>
    <row r="17" spans="1:14" ht="13.5">
      <c r="A17" t="s">
        <v>13</v>
      </c>
      <c r="B17">
        <v>1760</v>
      </c>
      <c r="C17" s="1">
        <v>35314100</v>
      </c>
      <c r="D17" s="1">
        <v>145656</v>
      </c>
      <c r="E17" s="1">
        <v>0.286009</v>
      </c>
      <c r="F17" s="1">
        <v>0.00397507</v>
      </c>
      <c r="G17" s="3">
        <v>1742</v>
      </c>
      <c r="H17" s="3">
        <v>604</v>
      </c>
      <c r="I17" s="4">
        <f t="shared" si="1"/>
        <v>2.884105960264901</v>
      </c>
      <c r="J17" s="2">
        <v>13.5872</v>
      </c>
      <c r="K17" s="2">
        <v>22.601</v>
      </c>
      <c r="L17" s="2">
        <f t="shared" si="0"/>
        <v>0.6011769390734923</v>
      </c>
      <c r="M17" s="4">
        <v>0.298252</v>
      </c>
      <c r="N17" s="1">
        <v>0.0106296</v>
      </c>
    </row>
    <row r="18" spans="1:14" ht="13.5">
      <c r="A18" t="s">
        <v>13</v>
      </c>
      <c r="B18">
        <v>1810</v>
      </c>
      <c r="C18" s="1">
        <v>41974700</v>
      </c>
      <c r="D18" s="1">
        <v>152277</v>
      </c>
      <c r="E18" s="1">
        <v>0.299287</v>
      </c>
      <c r="F18" s="1">
        <v>0.00375518</v>
      </c>
      <c r="G18" s="3">
        <v>1408</v>
      </c>
      <c r="H18" s="3">
        <v>472</v>
      </c>
      <c r="I18" s="4">
        <f t="shared" si="1"/>
        <v>2.983050847457627</v>
      </c>
      <c r="J18" s="2">
        <v>16.8798</v>
      </c>
      <c r="K18" s="2">
        <v>26.8638</v>
      </c>
      <c r="L18" s="2">
        <f t="shared" si="0"/>
        <v>0.6283474415384271</v>
      </c>
      <c r="M18" s="4">
        <v>0.274111</v>
      </c>
      <c r="N18" s="1">
        <v>0.00784728</v>
      </c>
    </row>
    <row r="19" spans="1:14" ht="13.5">
      <c r="A19" t="s">
        <v>13</v>
      </c>
      <c r="B19">
        <v>1860</v>
      </c>
      <c r="C19" s="1">
        <v>49293300</v>
      </c>
      <c r="D19" s="1">
        <v>202907</v>
      </c>
      <c r="E19" s="1">
        <v>0.336735</v>
      </c>
      <c r="F19" s="1">
        <v>0.00416581</v>
      </c>
      <c r="G19" s="3">
        <v>1275</v>
      </c>
      <c r="H19" s="3">
        <v>384</v>
      </c>
      <c r="I19" s="4">
        <f t="shared" si="1"/>
        <v>3.3203125</v>
      </c>
      <c r="J19" s="2">
        <v>28.1184</v>
      </c>
      <c r="K19" s="2">
        <v>31.5477</v>
      </c>
      <c r="L19" s="2">
        <f t="shared" si="0"/>
        <v>0.8912979393109483</v>
      </c>
      <c r="M19" s="4">
        <v>0.298969</v>
      </c>
      <c r="N19" s="1">
        <v>0.00782424</v>
      </c>
    </row>
    <row r="20" spans="1:14" ht="13.5">
      <c r="A20" t="s">
        <v>13</v>
      </c>
      <c r="B20">
        <v>1960</v>
      </c>
      <c r="C20" s="1">
        <v>71665900</v>
      </c>
      <c r="D20" s="1">
        <v>195908</v>
      </c>
      <c r="E20" s="1">
        <v>0.308757</v>
      </c>
      <c r="F20" s="1">
        <v>0.0028127</v>
      </c>
      <c r="G20" s="3">
        <v>897</v>
      </c>
      <c r="H20" s="3">
        <v>214</v>
      </c>
      <c r="I20" s="4">
        <f t="shared" si="1"/>
        <v>4.191588785046729</v>
      </c>
      <c r="J20" s="2">
        <v>27.0202</v>
      </c>
      <c r="K20" s="2">
        <v>45.8662</v>
      </c>
      <c r="L20" s="2">
        <f t="shared" si="0"/>
        <v>0.589109191517937</v>
      </c>
      <c r="M20" s="4">
        <v>0.277228</v>
      </c>
      <c r="N20" s="1">
        <v>0.00359157</v>
      </c>
    </row>
    <row r="21" spans="1:14" ht="13.5">
      <c r="A21" t="s">
        <v>13</v>
      </c>
      <c r="B21">
        <v>2060</v>
      </c>
      <c r="C21" s="1">
        <v>99520400</v>
      </c>
      <c r="D21" s="1">
        <v>370630</v>
      </c>
      <c r="E21" s="1">
        <v>0.339886</v>
      </c>
      <c r="F21" s="1">
        <v>0.00380919</v>
      </c>
      <c r="G21" s="3">
        <v>701</v>
      </c>
      <c r="H21" s="3">
        <v>173</v>
      </c>
      <c r="I21" s="4">
        <f t="shared" si="1"/>
        <v>4.0520231213872835</v>
      </c>
      <c r="J21" s="2">
        <v>42.5259</v>
      </c>
      <c r="K21" s="2">
        <v>63.693</v>
      </c>
      <c r="L21" s="2">
        <f t="shared" si="0"/>
        <v>0.667669916631341</v>
      </c>
      <c r="M21" s="4">
        <v>0.310165</v>
      </c>
      <c r="N21" s="1">
        <v>0.00501471</v>
      </c>
    </row>
    <row r="22" spans="1:14" ht="13.5">
      <c r="A22" t="s">
        <v>14</v>
      </c>
      <c r="B22">
        <v>1965</v>
      </c>
      <c r="C22" s="1">
        <v>32363300</v>
      </c>
      <c r="D22" s="1">
        <v>103814</v>
      </c>
      <c r="E22" s="1">
        <v>0.272177</v>
      </c>
      <c r="F22" s="1">
        <v>0.00347976</v>
      </c>
      <c r="G22" s="3">
        <v>1896</v>
      </c>
      <c r="H22" s="3">
        <v>580</v>
      </c>
      <c r="I22" s="4">
        <f t="shared" si="1"/>
        <v>3.268965517241379</v>
      </c>
      <c r="J22" s="2">
        <v>12.0112</v>
      </c>
      <c r="K22" s="2">
        <v>20.7125</v>
      </c>
      <c r="L22" s="2">
        <f t="shared" si="0"/>
        <v>0.5799010259505131</v>
      </c>
      <c r="M22" s="4">
        <v>0.270861</v>
      </c>
      <c r="N22" s="1">
        <v>0.00835495</v>
      </c>
    </row>
    <row r="23" spans="1:14" ht="13.5">
      <c r="A23" t="s">
        <v>14</v>
      </c>
      <c r="B23">
        <v>2015</v>
      </c>
      <c r="C23" s="1">
        <v>37751000</v>
      </c>
      <c r="D23" s="1">
        <v>129210</v>
      </c>
      <c r="E23" s="1">
        <v>0.268385</v>
      </c>
      <c r="F23" s="1">
        <v>0.0036884</v>
      </c>
      <c r="G23" s="3">
        <v>1547</v>
      </c>
      <c r="H23" s="3">
        <v>421</v>
      </c>
      <c r="I23" s="4">
        <f t="shared" si="1"/>
        <v>3.67458432304038</v>
      </c>
      <c r="J23" s="2">
        <v>15.6128</v>
      </c>
      <c r="K23" s="2">
        <v>24.1606</v>
      </c>
      <c r="L23" s="2">
        <f t="shared" si="0"/>
        <v>0.6462091173232453</v>
      </c>
      <c r="M23" s="4">
        <v>0.20779</v>
      </c>
      <c r="N23" s="1">
        <v>0.0123169</v>
      </c>
    </row>
    <row r="24" spans="1:14" ht="13.5">
      <c r="A24" t="s">
        <v>14</v>
      </c>
      <c r="B24">
        <v>2065</v>
      </c>
      <c r="C24" s="1">
        <v>43113500</v>
      </c>
      <c r="D24" s="1">
        <v>139001</v>
      </c>
      <c r="E24" s="1">
        <v>0.279087</v>
      </c>
      <c r="F24" s="1">
        <v>0.0033259</v>
      </c>
      <c r="G24" s="3">
        <v>1375</v>
      </c>
      <c r="H24" s="3">
        <v>325</v>
      </c>
      <c r="I24" s="4">
        <f t="shared" si="1"/>
        <v>4.230769230769231</v>
      </c>
      <c r="J24" s="2">
        <v>19.5248</v>
      </c>
      <c r="K24" s="2">
        <v>27.5926</v>
      </c>
      <c r="L24" s="2">
        <f t="shared" si="0"/>
        <v>0.7076100113798627</v>
      </c>
      <c r="M24" s="4">
        <v>0.202617</v>
      </c>
      <c r="N24" s="1">
        <v>0.00880911</v>
      </c>
    </row>
    <row r="25" spans="1:14" ht="13.5">
      <c r="A25" t="s">
        <v>14</v>
      </c>
      <c r="B25">
        <v>2115</v>
      </c>
      <c r="C25" s="1">
        <v>49821100</v>
      </c>
      <c r="D25" s="1">
        <v>162440</v>
      </c>
      <c r="E25" s="1">
        <v>0.298601</v>
      </c>
      <c r="F25" s="1">
        <v>0.0034664</v>
      </c>
      <c r="G25" s="3">
        <v>1163</v>
      </c>
      <c r="H25" s="3">
        <v>224</v>
      </c>
      <c r="I25" s="4">
        <f t="shared" si="1"/>
        <v>5.191964285714286</v>
      </c>
      <c r="J25" s="2">
        <v>23.84</v>
      </c>
      <c r="K25" s="2">
        <v>31.8855</v>
      </c>
      <c r="L25" s="2">
        <f t="shared" si="0"/>
        <v>0.7476752755954901</v>
      </c>
      <c r="M25" s="4">
        <v>0.183703</v>
      </c>
      <c r="N25" s="1">
        <v>0.00709189</v>
      </c>
    </row>
    <row r="26" spans="1:14" ht="13.5">
      <c r="A26" t="s">
        <v>14</v>
      </c>
      <c r="B26">
        <v>2165</v>
      </c>
      <c r="C26" s="1">
        <v>58266800</v>
      </c>
      <c r="D26" s="1">
        <v>147840</v>
      </c>
      <c r="E26" s="1">
        <v>0.284868</v>
      </c>
      <c r="F26" s="1">
        <v>0.00264443</v>
      </c>
      <c r="G26" s="3">
        <v>1005</v>
      </c>
      <c r="H26" s="3">
        <v>190</v>
      </c>
      <c r="I26" s="4">
        <f t="shared" si="1"/>
        <v>5.2894736842105265</v>
      </c>
      <c r="J26" s="2">
        <v>23.6153</v>
      </c>
      <c r="K26" s="2">
        <v>37.2907</v>
      </c>
      <c r="L26" s="2">
        <f t="shared" si="0"/>
        <v>0.6332758569831084</v>
      </c>
      <c r="M26" s="4">
        <v>0.202997</v>
      </c>
      <c r="N26" s="1">
        <v>0.00383387</v>
      </c>
    </row>
    <row r="27" spans="1:14" ht="13.5">
      <c r="A27" t="s">
        <v>15</v>
      </c>
      <c r="B27">
        <v>1760</v>
      </c>
      <c r="C27" s="1">
        <v>34923800</v>
      </c>
      <c r="D27" s="1">
        <v>172007</v>
      </c>
      <c r="E27" s="1">
        <v>0.24335</v>
      </c>
      <c r="F27" s="1">
        <v>0.00462884</v>
      </c>
      <c r="G27" s="3">
        <v>1580</v>
      </c>
      <c r="H27" s="3">
        <v>453</v>
      </c>
      <c r="I27" s="4">
        <f t="shared" si="1"/>
        <v>3.487858719646799</v>
      </c>
      <c r="J27" s="2">
        <v>14.4309</v>
      </c>
      <c r="K27" s="2">
        <v>22.3512</v>
      </c>
      <c r="L27" s="2">
        <f t="shared" si="0"/>
        <v>0.645643186942983</v>
      </c>
      <c r="M27" s="4">
        <v>0.104646</v>
      </c>
      <c r="N27" s="1">
        <v>0.0513171</v>
      </c>
    </row>
    <row r="28" spans="1:14" ht="13.5">
      <c r="A28" t="s">
        <v>15</v>
      </c>
      <c r="B28">
        <v>1810</v>
      </c>
      <c r="C28" s="1">
        <v>41316700</v>
      </c>
      <c r="D28" s="1">
        <v>283257</v>
      </c>
      <c r="E28" s="1">
        <v>0.272449</v>
      </c>
      <c r="F28" s="1">
        <v>0.00628636</v>
      </c>
      <c r="G28" s="3">
        <v>601</v>
      </c>
      <c r="H28" s="3">
        <v>133</v>
      </c>
      <c r="I28" s="4">
        <f t="shared" si="1"/>
        <v>4.518796992481203</v>
      </c>
      <c r="J28" s="2">
        <v>22.451</v>
      </c>
      <c r="K28" s="2">
        <v>26.4427</v>
      </c>
      <c r="L28" s="2">
        <f t="shared" si="0"/>
        <v>0.849043403283326</v>
      </c>
      <c r="M28" s="4">
        <v>0.00864244</v>
      </c>
      <c r="N28" s="1">
        <v>0.0444863</v>
      </c>
    </row>
    <row r="29" spans="1:14" ht="13.5">
      <c r="A29" t="s">
        <v>15</v>
      </c>
      <c r="B29">
        <v>1860</v>
      </c>
      <c r="C29" s="1">
        <v>49849500</v>
      </c>
      <c r="D29" s="1">
        <v>230688</v>
      </c>
      <c r="E29" s="1">
        <v>0.263804</v>
      </c>
      <c r="F29" s="1">
        <v>0.00428145</v>
      </c>
      <c r="G29" s="3">
        <v>535</v>
      </c>
      <c r="H29" s="3">
        <v>112</v>
      </c>
      <c r="I29" s="4">
        <f t="shared" si="1"/>
        <v>4.776785714285714</v>
      </c>
      <c r="J29" s="2">
        <v>17.8099</v>
      </c>
      <c r="K29" s="2">
        <v>31.9037</v>
      </c>
      <c r="L29" s="2">
        <f t="shared" si="0"/>
        <v>0.5582393264731049</v>
      </c>
      <c r="M29" s="4">
        <v>0.142603</v>
      </c>
      <c r="N29" s="1">
        <v>0.142603</v>
      </c>
    </row>
    <row r="30" spans="1:14" ht="13.5">
      <c r="A30" t="s">
        <v>15</v>
      </c>
      <c r="B30">
        <v>1960</v>
      </c>
      <c r="C30" s="1">
        <v>71694200</v>
      </c>
      <c r="D30" s="1">
        <v>265302</v>
      </c>
      <c r="E30" s="1">
        <v>0.262103</v>
      </c>
      <c r="F30" s="1">
        <v>0.00358746</v>
      </c>
      <c r="G30" s="3">
        <v>572</v>
      </c>
      <c r="H30" s="3">
        <v>98</v>
      </c>
      <c r="I30" s="4">
        <f t="shared" si="1"/>
        <v>5.836734693877551</v>
      </c>
      <c r="J30" s="2">
        <v>22.8378</v>
      </c>
      <c r="K30" s="2">
        <v>45.8843</v>
      </c>
      <c r="L30" s="2">
        <f t="shared" si="0"/>
        <v>0.49772580163585367</v>
      </c>
      <c r="M30" s="4">
        <v>0.221267</v>
      </c>
      <c r="N30" s="1">
        <v>0.106806</v>
      </c>
    </row>
    <row r="31" spans="1:14" ht="13.5">
      <c r="A31" t="s">
        <v>15</v>
      </c>
      <c r="B31">
        <v>2060</v>
      </c>
      <c r="C31" s="1">
        <v>100951000</v>
      </c>
      <c r="D31" s="1">
        <v>330252</v>
      </c>
      <c r="E31" s="1">
        <v>0.26024</v>
      </c>
      <c r="F31" s="1">
        <v>0.00321443</v>
      </c>
      <c r="G31" s="3">
        <v>344</v>
      </c>
      <c r="H31" s="3">
        <v>54</v>
      </c>
      <c r="I31" s="4">
        <f t="shared" si="1"/>
        <v>6.37037037037037</v>
      </c>
      <c r="J31" s="2">
        <v>34.628</v>
      </c>
      <c r="K31" s="2">
        <v>64.6089</v>
      </c>
      <c r="L31" s="2">
        <f t="shared" si="0"/>
        <v>0.5359633115561478</v>
      </c>
      <c r="M31" s="4">
        <v>0.216663</v>
      </c>
      <c r="N31" s="1">
        <v>0.00752137</v>
      </c>
    </row>
    <row r="32" spans="1:14" ht="13.5">
      <c r="A32" t="s">
        <v>16</v>
      </c>
      <c r="B32">
        <v>1815</v>
      </c>
      <c r="C32" s="1">
        <v>35478300</v>
      </c>
      <c r="D32" s="1">
        <v>154856</v>
      </c>
      <c r="E32" s="1">
        <v>0.304329</v>
      </c>
      <c r="F32" s="1">
        <v>0.00411618</v>
      </c>
      <c r="G32" s="3">
        <v>2759</v>
      </c>
      <c r="H32" s="3">
        <v>1149</v>
      </c>
      <c r="I32" s="4">
        <f t="shared" si="1"/>
        <v>2.4012184508268057</v>
      </c>
      <c r="J32" s="2">
        <v>15.5582</v>
      </c>
      <c r="K32" s="2">
        <v>22.7061</v>
      </c>
      <c r="L32" s="2">
        <f t="shared" si="0"/>
        <v>0.6851991315109156</v>
      </c>
      <c r="M32" s="4">
        <v>0.441458</v>
      </c>
      <c r="N32" s="1">
        <v>0.0095316</v>
      </c>
    </row>
    <row r="33" spans="1:14" ht="13.5">
      <c r="A33" t="s">
        <v>16</v>
      </c>
      <c r="B33">
        <v>1865</v>
      </c>
      <c r="C33" s="1">
        <v>42004700</v>
      </c>
      <c r="D33" s="1">
        <v>158507</v>
      </c>
      <c r="E33" s="1">
        <v>0.329201</v>
      </c>
      <c r="F33" s="1">
        <v>0.00235904</v>
      </c>
      <c r="G33" s="3">
        <v>2284</v>
      </c>
      <c r="H33" s="3">
        <v>887</v>
      </c>
      <c r="I33" s="4">
        <f t="shared" si="1"/>
        <v>2.5749718151071024</v>
      </c>
      <c r="J33" s="2">
        <v>19.13</v>
      </c>
      <c r="K33" s="2">
        <v>26.883</v>
      </c>
      <c r="L33" s="2">
        <f t="shared" si="0"/>
        <v>0.7116021277387197</v>
      </c>
      <c r="M33" s="4">
        <v>0.36313</v>
      </c>
      <c r="N33" s="1">
        <v>0.00545424</v>
      </c>
    </row>
    <row r="34" spans="1:14" ht="13.5">
      <c r="A34" t="s">
        <v>16</v>
      </c>
      <c r="B34">
        <v>1915</v>
      </c>
      <c r="C34" s="1">
        <v>49421900</v>
      </c>
      <c r="D34" s="1">
        <v>167462</v>
      </c>
      <c r="E34" s="1">
        <v>0.3432</v>
      </c>
      <c r="F34" s="1">
        <v>0.00335374</v>
      </c>
      <c r="G34" s="3">
        <v>1995</v>
      </c>
      <c r="H34" s="3">
        <v>662</v>
      </c>
      <c r="I34" s="4">
        <f t="shared" si="1"/>
        <v>3.013595166163142</v>
      </c>
      <c r="J34" s="2">
        <v>21.7134</v>
      </c>
      <c r="K34" s="2">
        <v>31.6299</v>
      </c>
      <c r="L34" s="2">
        <f t="shared" si="0"/>
        <v>0.6864833591000921</v>
      </c>
      <c r="M34" s="4">
        <v>0.32315</v>
      </c>
      <c r="N34" s="1">
        <v>0.00390651</v>
      </c>
    </row>
    <row r="35" spans="1:14" ht="13.5">
      <c r="A35" t="s">
        <v>16</v>
      </c>
      <c r="B35">
        <v>2015</v>
      </c>
      <c r="C35" s="1">
        <v>68335200</v>
      </c>
      <c r="D35" s="1">
        <v>257347</v>
      </c>
      <c r="E35" s="1">
        <v>0.372014</v>
      </c>
      <c r="F35" s="1">
        <v>0.00372747</v>
      </c>
      <c r="G35" s="3">
        <v>1293</v>
      </c>
      <c r="H35" s="3">
        <v>386</v>
      </c>
      <c r="I35" s="4">
        <f t="shared" si="1"/>
        <v>3.349740932642487</v>
      </c>
      <c r="J35" s="2">
        <v>33.5584</v>
      </c>
      <c r="K35" s="2">
        <v>43.7345</v>
      </c>
      <c r="L35" s="2">
        <f t="shared" si="0"/>
        <v>0.7673209937234906</v>
      </c>
      <c r="M35" s="4">
        <v>0.310238</v>
      </c>
      <c r="N35" s="1">
        <v>0.0036303</v>
      </c>
    </row>
    <row r="36" spans="1:14" ht="13.5">
      <c r="A36" t="s">
        <v>16</v>
      </c>
      <c r="B36">
        <v>2115</v>
      </c>
      <c r="C36" s="1">
        <v>93370600</v>
      </c>
      <c r="D36" s="1">
        <v>340820</v>
      </c>
      <c r="E36" s="1">
        <v>0.387503</v>
      </c>
      <c r="F36" s="1">
        <v>0.00366375</v>
      </c>
      <c r="G36" s="3">
        <v>1031</v>
      </c>
      <c r="H36" s="3">
        <v>274</v>
      </c>
      <c r="I36" s="4">
        <f t="shared" si="1"/>
        <v>3.7627737226277373</v>
      </c>
      <c r="J36" s="2">
        <v>47.9663</v>
      </c>
      <c r="K36" s="2">
        <v>59.7572</v>
      </c>
      <c r="L36" s="2">
        <f t="shared" si="0"/>
        <v>0.8026865381912137</v>
      </c>
      <c r="M36" s="4">
        <v>0.291322</v>
      </c>
      <c r="N36" s="1">
        <v>0.00306705</v>
      </c>
    </row>
    <row r="37" spans="1:14" ht="13.5">
      <c r="A37" t="s">
        <v>17</v>
      </c>
      <c r="B37">
        <v>1795</v>
      </c>
      <c r="C37" s="1">
        <v>35548500</v>
      </c>
      <c r="D37" s="1">
        <v>452610</v>
      </c>
      <c r="E37" s="1">
        <v>0.280987</v>
      </c>
      <c r="F37" s="1">
        <v>0.0114344</v>
      </c>
      <c r="G37" s="3">
        <v>183</v>
      </c>
      <c r="H37" s="3">
        <v>47</v>
      </c>
      <c r="I37" s="4">
        <f t="shared" si="1"/>
        <v>3.893617021276596</v>
      </c>
      <c r="J37" s="2">
        <v>11.4986</v>
      </c>
      <c r="K37" s="2">
        <v>22.7511</v>
      </c>
      <c r="L37" s="2">
        <f t="shared" si="0"/>
        <v>0.5054085296974652</v>
      </c>
      <c r="M37" s="4">
        <v>0.286439</v>
      </c>
      <c r="N37" s="1">
        <v>0.0436566</v>
      </c>
    </row>
    <row r="38" spans="1:14" ht="13.5">
      <c r="A38" t="s">
        <v>17</v>
      </c>
      <c r="B38">
        <v>1845</v>
      </c>
      <c r="C38" s="1">
        <v>41776700</v>
      </c>
      <c r="D38" s="1">
        <v>339121</v>
      </c>
      <c r="E38" s="1">
        <v>0.300823</v>
      </c>
      <c r="F38" s="1">
        <v>0.00746158</v>
      </c>
      <c r="G38" s="3">
        <v>292</v>
      </c>
      <c r="H38" s="3">
        <v>86</v>
      </c>
      <c r="I38" s="4">
        <f t="shared" si="1"/>
        <v>3.395348837209302</v>
      </c>
      <c r="J38" s="2">
        <v>12.7094</v>
      </c>
      <c r="K38" s="2">
        <v>26.7371</v>
      </c>
      <c r="L38" s="2">
        <f t="shared" si="0"/>
        <v>0.4753469897632877</v>
      </c>
      <c r="M38" s="4">
        <v>0.32085</v>
      </c>
      <c r="N38" s="1">
        <v>0.0152516</v>
      </c>
    </row>
    <row r="39" spans="1:14" ht="13.5">
      <c r="A39" t="s">
        <v>17</v>
      </c>
      <c r="B39">
        <v>1895</v>
      </c>
      <c r="C39" s="1">
        <v>49897000</v>
      </c>
      <c r="D39" s="1">
        <v>188862</v>
      </c>
      <c r="E39" s="1">
        <v>0.324617</v>
      </c>
      <c r="F39" s="1">
        <v>0.0037092</v>
      </c>
      <c r="G39" s="3">
        <v>1204</v>
      </c>
      <c r="H39" s="3">
        <v>315</v>
      </c>
      <c r="I39" s="4">
        <f t="shared" si="1"/>
        <v>3.8222222222222224</v>
      </c>
      <c r="J39" s="2">
        <v>23.8887</v>
      </c>
      <c r="K39" s="2">
        <v>31.9341</v>
      </c>
      <c r="L39" s="2">
        <f t="shared" si="0"/>
        <v>0.7480624160380283</v>
      </c>
      <c r="M39" s="4">
        <v>0.253086</v>
      </c>
      <c r="N39" s="1">
        <v>0.00618338</v>
      </c>
    </row>
    <row r="40" spans="1:14" ht="13.5">
      <c r="A40" t="s">
        <v>17</v>
      </c>
      <c r="B40">
        <v>1995</v>
      </c>
      <c r="C40" s="1">
        <v>69230500</v>
      </c>
      <c r="D40" s="1">
        <v>256444</v>
      </c>
      <c r="E40" s="1">
        <v>0.346519</v>
      </c>
      <c r="F40" s="1">
        <v>0.00366424</v>
      </c>
      <c r="G40" s="3">
        <v>860</v>
      </c>
      <c r="H40" s="3">
        <v>192</v>
      </c>
      <c r="I40" s="4">
        <f t="shared" si="1"/>
        <v>4.479166666666667</v>
      </c>
      <c r="J40" s="2">
        <v>31.8495</v>
      </c>
      <c r="K40" s="2">
        <v>44.3075</v>
      </c>
      <c r="L40" s="2">
        <f t="shared" si="0"/>
        <v>0.7188286407493089</v>
      </c>
      <c r="M40" s="4">
        <v>0.235767</v>
      </c>
      <c r="N40" s="1">
        <v>0.00457551</v>
      </c>
    </row>
    <row r="41" spans="1:14" ht="13.5">
      <c r="A41" t="s">
        <v>17</v>
      </c>
      <c r="B41">
        <v>2095</v>
      </c>
      <c r="C41" s="1">
        <v>96635200</v>
      </c>
      <c r="D41" s="1">
        <v>338662</v>
      </c>
      <c r="E41" s="1">
        <v>0.34822</v>
      </c>
      <c r="F41" s="1">
        <v>0.00354743</v>
      </c>
      <c r="G41" s="3">
        <v>587</v>
      </c>
      <c r="H41" s="3">
        <v>129</v>
      </c>
      <c r="I41" s="4">
        <f t="shared" si="1"/>
        <v>4.550387596899225</v>
      </c>
      <c r="J41" s="2">
        <v>43.0058</v>
      </c>
      <c r="K41" s="2">
        <v>61.8466</v>
      </c>
      <c r="L41" s="2">
        <f t="shared" si="0"/>
        <v>0.6953623966394272</v>
      </c>
      <c r="M41" s="4">
        <v>0.22347</v>
      </c>
      <c r="N41" s="1">
        <v>0.00384164</v>
      </c>
    </row>
    <row r="42" spans="1:14" ht="13.5">
      <c r="A42" t="s">
        <v>18</v>
      </c>
      <c r="B42">
        <v>1760</v>
      </c>
      <c r="C42" s="1">
        <v>34967200</v>
      </c>
      <c r="D42" s="1">
        <v>98713.4</v>
      </c>
      <c r="E42" s="1">
        <v>0.264071</v>
      </c>
      <c r="F42" s="1">
        <v>0.00295458</v>
      </c>
      <c r="G42" s="3">
        <v>2876</v>
      </c>
      <c r="H42" s="3">
        <v>982</v>
      </c>
      <c r="I42" s="4">
        <f t="shared" si="1"/>
        <v>2.928716904276986</v>
      </c>
      <c r="J42" s="2">
        <v>13.3774</v>
      </c>
      <c r="K42" s="2">
        <v>22.379</v>
      </c>
      <c r="L42" s="2">
        <f t="shared" si="0"/>
        <v>0.5977657625452433</v>
      </c>
      <c r="M42" s="4">
        <v>0.325735</v>
      </c>
      <c r="N42" s="1">
        <v>0.0077014</v>
      </c>
    </row>
    <row r="43" spans="1:14" ht="13.5">
      <c r="A43" t="s">
        <v>18</v>
      </c>
      <c r="B43">
        <v>1810</v>
      </c>
      <c r="C43" s="1">
        <v>40897900</v>
      </c>
      <c r="D43" s="1">
        <v>126044</v>
      </c>
      <c r="E43" s="1">
        <v>0.295775</v>
      </c>
      <c r="F43" s="1">
        <v>0.00315664</v>
      </c>
      <c r="G43" s="3">
        <v>2275</v>
      </c>
      <c r="H43" s="3">
        <v>707</v>
      </c>
      <c r="I43" s="4">
        <f t="shared" si="1"/>
        <v>3.217821782178218</v>
      </c>
      <c r="J43" s="2">
        <v>20.1009</v>
      </c>
      <c r="K43" s="2">
        <v>26.1747</v>
      </c>
      <c r="L43" s="2">
        <f t="shared" si="0"/>
        <v>0.7679514951460761</v>
      </c>
      <c r="M43" s="4">
        <v>0.273303</v>
      </c>
      <c r="N43" s="1">
        <v>0.00683454</v>
      </c>
    </row>
    <row r="44" spans="1:14" ht="13.5">
      <c r="A44" t="s">
        <v>18</v>
      </c>
      <c r="B44">
        <v>1860</v>
      </c>
      <c r="C44" s="1">
        <v>49295700</v>
      </c>
      <c r="D44" s="1">
        <v>144600</v>
      </c>
      <c r="E44" s="1">
        <v>0.313123</v>
      </c>
      <c r="F44" s="1">
        <v>0.00306522</v>
      </c>
      <c r="G44" s="3">
        <v>1862</v>
      </c>
      <c r="H44" s="3">
        <v>552</v>
      </c>
      <c r="I44" s="4">
        <f t="shared" si="1"/>
        <v>3.3731884057971016</v>
      </c>
      <c r="J44" s="2">
        <v>23.8067</v>
      </c>
      <c r="K44" s="2">
        <v>31.5492</v>
      </c>
      <c r="L44" s="2">
        <f t="shared" si="0"/>
        <v>0.7545896567900295</v>
      </c>
      <c r="M44" s="4">
        <v>0.270038</v>
      </c>
      <c r="N44" s="1">
        <v>0.00492852</v>
      </c>
    </row>
    <row r="45" spans="1:14" ht="13.5">
      <c r="A45" t="s">
        <v>18</v>
      </c>
      <c r="B45">
        <v>1960</v>
      </c>
      <c r="C45" s="1">
        <v>69747400</v>
      </c>
      <c r="D45" s="1">
        <v>187961</v>
      </c>
      <c r="E45" s="1">
        <v>0.336551</v>
      </c>
      <c r="F45" s="1">
        <v>0.00284537</v>
      </c>
      <c r="G45" s="3">
        <v>1394</v>
      </c>
      <c r="H45" s="3">
        <v>326</v>
      </c>
      <c r="I45" s="4">
        <f t="shared" si="1"/>
        <v>4.276073619631902</v>
      </c>
      <c r="J45" s="2">
        <v>33.4602</v>
      </c>
      <c r="K45" s="2">
        <v>44.6383</v>
      </c>
      <c r="L45" s="2">
        <f t="shared" si="0"/>
        <v>0.7495849976365587</v>
      </c>
      <c r="M45" s="4">
        <v>0.232805</v>
      </c>
      <c r="N45" s="1">
        <v>0.00342908</v>
      </c>
    </row>
    <row r="46" spans="1:14" ht="13.5">
      <c r="A46" t="s">
        <v>18</v>
      </c>
      <c r="B46">
        <v>2060</v>
      </c>
      <c r="C46" s="1">
        <v>97605400</v>
      </c>
      <c r="D46" s="1">
        <v>265020</v>
      </c>
      <c r="E46" s="1">
        <v>0.342252</v>
      </c>
      <c r="F46" s="1">
        <v>0.0028832</v>
      </c>
      <c r="G46" s="3">
        <v>932</v>
      </c>
      <c r="H46" s="3">
        <v>202</v>
      </c>
      <c r="I46" s="4">
        <f t="shared" si="1"/>
        <v>4.6138613861386135</v>
      </c>
      <c r="J46" s="2">
        <v>49.4629</v>
      </c>
      <c r="K46" s="2">
        <v>62.4674</v>
      </c>
      <c r="L46" s="2">
        <f t="shared" si="0"/>
        <v>0.7918194130058238</v>
      </c>
      <c r="M46" s="4">
        <v>0.2251</v>
      </c>
      <c r="N46" s="1">
        <v>0.00306617</v>
      </c>
    </row>
    <row r="47" spans="1:14" ht="13.5">
      <c r="A47" t="s">
        <v>19</v>
      </c>
      <c r="B47">
        <v>1600</v>
      </c>
      <c r="C47" s="1">
        <v>33303400</v>
      </c>
      <c r="D47" s="1">
        <v>96352.6</v>
      </c>
      <c r="E47" s="1">
        <v>0.227049</v>
      </c>
      <c r="F47" s="1">
        <v>0.227049</v>
      </c>
      <c r="G47" s="3">
        <v>1134</v>
      </c>
      <c r="H47" s="3">
        <v>321</v>
      </c>
      <c r="I47" s="4">
        <f t="shared" si="1"/>
        <v>3.532710280373832</v>
      </c>
      <c r="J47" s="2">
        <v>9.02814</v>
      </c>
      <c r="K47" s="2">
        <v>21.3142</v>
      </c>
      <c r="L47" s="2">
        <f t="shared" si="0"/>
        <v>0.42357395539124154</v>
      </c>
      <c r="M47" s="4">
        <v>0.239175</v>
      </c>
      <c r="N47" s="1">
        <v>0.00929989</v>
      </c>
    </row>
    <row r="48" spans="1:14" ht="13.5">
      <c r="A48" t="s">
        <v>19</v>
      </c>
      <c r="B48">
        <v>1650</v>
      </c>
      <c r="C48" s="1">
        <v>40885300</v>
      </c>
      <c r="D48" s="1">
        <v>132255</v>
      </c>
      <c r="E48" s="1">
        <v>0.247926</v>
      </c>
      <c r="F48" s="1">
        <v>0.00293567</v>
      </c>
      <c r="G48" s="3">
        <v>806</v>
      </c>
      <c r="H48" s="3">
        <v>228</v>
      </c>
      <c r="I48" s="4">
        <f t="shared" si="1"/>
        <v>3.5350877192982457</v>
      </c>
      <c r="J48" s="2">
        <v>11.9032</v>
      </c>
      <c r="K48" s="2">
        <v>26.1666</v>
      </c>
      <c r="L48" s="2">
        <f t="shared" si="0"/>
        <v>0.4549005220395466</v>
      </c>
      <c r="M48" s="4">
        <v>0.23104</v>
      </c>
      <c r="N48" s="1">
        <v>0.00752179</v>
      </c>
    </row>
    <row r="49" spans="1:14" ht="13.5">
      <c r="A49" t="s">
        <v>19</v>
      </c>
      <c r="B49">
        <v>1700</v>
      </c>
      <c r="C49" s="1">
        <v>50229300</v>
      </c>
      <c r="D49" s="1">
        <v>153300</v>
      </c>
      <c r="E49" s="1">
        <v>0.260948</v>
      </c>
      <c r="F49" s="1">
        <v>0.00282038</v>
      </c>
      <c r="G49" s="3">
        <v>765</v>
      </c>
      <c r="H49" s="3">
        <v>182</v>
      </c>
      <c r="I49" s="4">
        <f t="shared" si="1"/>
        <v>4.2032967032967035</v>
      </c>
      <c r="J49" s="2">
        <v>13.6399</v>
      </c>
      <c r="K49" s="2">
        <v>32.1467</v>
      </c>
      <c r="L49" s="2">
        <f t="shared" si="0"/>
        <v>0.4243017168169672</v>
      </c>
      <c r="M49" s="4">
        <v>0.231494</v>
      </c>
      <c r="N49" s="1">
        <v>0.00586866</v>
      </c>
    </row>
    <row r="50" spans="1:14" ht="13.5">
      <c r="A50" t="s">
        <v>19</v>
      </c>
      <c r="B50">
        <v>1800</v>
      </c>
      <c r="C50" s="1">
        <v>75590800</v>
      </c>
      <c r="D50" s="1">
        <v>218200</v>
      </c>
      <c r="E50" s="1">
        <v>0.273765</v>
      </c>
      <c r="F50" s="1">
        <v>0.00279171</v>
      </c>
      <c r="G50" s="3">
        <v>544</v>
      </c>
      <c r="H50" s="3">
        <v>117</v>
      </c>
      <c r="I50" s="4">
        <f t="shared" si="1"/>
        <v>4.64957264957265</v>
      </c>
      <c r="J50" s="2">
        <v>23.1474</v>
      </c>
      <c r="K50" s="2">
        <v>48.3781</v>
      </c>
      <c r="L50" s="2">
        <f t="shared" si="0"/>
        <v>0.4784685632548612</v>
      </c>
      <c r="M50" s="4">
        <v>0.21773</v>
      </c>
      <c r="N50" s="1">
        <v>0.00466914</v>
      </c>
    </row>
    <row r="51" spans="1:14" ht="13.5">
      <c r="A51" t="s">
        <v>19</v>
      </c>
      <c r="B51">
        <v>1900</v>
      </c>
      <c r="C51" s="1">
        <v>113042000</v>
      </c>
      <c r="D51" s="1">
        <v>359041</v>
      </c>
      <c r="E51" s="1">
        <v>0.261391</v>
      </c>
      <c r="F51" s="1">
        <v>0.00296162</v>
      </c>
      <c r="G51" s="3">
        <v>334</v>
      </c>
      <c r="H51" s="3">
        <v>65</v>
      </c>
      <c r="I51" s="4">
        <f t="shared" si="1"/>
        <v>5.138461538461539</v>
      </c>
      <c r="J51" s="2">
        <v>38.9757</v>
      </c>
      <c r="K51" s="2">
        <v>72.3466</v>
      </c>
      <c r="L51" s="2">
        <f t="shared" si="0"/>
        <v>0.5387357526131152</v>
      </c>
      <c r="M51" s="4">
        <v>0.206384</v>
      </c>
      <c r="N51" s="1">
        <v>0.00466714</v>
      </c>
    </row>
    <row r="52" spans="1:14" ht="13.5">
      <c r="A52" t="s">
        <v>20</v>
      </c>
      <c r="B52">
        <v>1610</v>
      </c>
      <c r="C52" s="1">
        <v>34253800</v>
      </c>
      <c r="D52" s="1">
        <v>116175</v>
      </c>
      <c r="E52" s="1">
        <v>0.226681</v>
      </c>
      <c r="F52" s="1">
        <v>0.00339494</v>
      </c>
      <c r="G52" s="3">
        <v>1115</v>
      </c>
      <c r="H52" s="3">
        <v>353</v>
      </c>
      <c r="I52" s="4">
        <f t="shared" si="1"/>
        <v>3.1586402266288953</v>
      </c>
      <c r="J52" s="2">
        <v>8.76403</v>
      </c>
      <c r="K52" s="2">
        <v>21.9864</v>
      </c>
      <c r="L52" s="2">
        <f t="shared" si="0"/>
        <v>0.3986114143288578</v>
      </c>
      <c r="M52" s="4">
        <v>0.1761</v>
      </c>
      <c r="N52" s="1">
        <v>0.0182422</v>
      </c>
    </row>
    <row r="53" spans="1:14" ht="13.5">
      <c r="A53" t="s">
        <v>20</v>
      </c>
      <c r="B53">
        <v>1660</v>
      </c>
      <c r="C53" s="1">
        <v>41238500</v>
      </c>
      <c r="D53" s="1">
        <v>128783</v>
      </c>
      <c r="E53" s="1">
        <v>0.248492</v>
      </c>
      <c r="F53" s="1">
        <v>0.00289517</v>
      </c>
      <c r="G53" s="3">
        <v>969</v>
      </c>
      <c r="H53" s="3">
        <v>247</v>
      </c>
      <c r="I53" s="4">
        <f t="shared" si="1"/>
        <v>3.923076923076923</v>
      </c>
      <c r="J53" s="2">
        <v>12.8011</v>
      </c>
      <c r="K53" s="2">
        <v>26.3927</v>
      </c>
      <c r="L53" s="2">
        <f t="shared" si="0"/>
        <v>0.4850242680741265</v>
      </c>
      <c r="M53" s="4">
        <v>0.163082</v>
      </c>
      <c r="N53" s="1">
        <v>0.0111324</v>
      </c>
    </row>
    <row r="54" spans="1:14" ht="13.5">
      <c r="A54" t="s">
        <v>20</v>
      </c>
      <c r="B54">
        <v>1710</v>
      </c>
      <c r="C54" s="1">
        <v>50076500</v>
      </c>
      <c r="D54" s="1">
        <v>168804</v>
      </c>
      <c r="E54" s="1">
        <v>0.256976</v>
      </c>
      <c r="F54" s="1">
        <v>0.00308543</v>
      </c>
      <c r="G54" s="3">
        <v>705</v>
      </c>
      <c r="H54" s="3">
        <v>146</v>
      </c>
      <c r="I54" s="4">
        <f t="shared" si="1"/>
        <v>4.828767123287672</v>
      </c>
      <c r="J54" s="2">
        <v>15.9899</v>
      </c>
      <c r="K54" s="2">
        <v>32.0489</v>
      </c>
      <c r="L54" s="2">
        <f t="shared" si="0"/>
        <v>0.4989219598800583</v>
      </c>
      <c r="M54" s="4">
        <v>0.18978</v>
      </c>
      <c r="N54" s="1">
        <v>0.00863327</v>
      </c>
    </row>
    <row r="55" spans="1:14" ht="13.5">
      <c r="A55" t="s">
        <v>20</v>
      </c>
      <c r="B55">
        <v>1810</v>
      </c>
      <c r="C55" s="1">
        <v>74214000</v>
      </c>
      <c r="D55" s="1">
        <v>234619</v>
      </c>
      <c r="E55" s="1">
        <v>0.277203</v>
      </c>
      <c r="F55" s="1">
        <v>0.00304134</v>
      </c>
      <c r="G55" s="3">
        <v>525</v>
      </c>
      <c r="H55" s="3">
        <v>108</v>
      </c>
      <c r="I55" s="4">
        <f t="shared" si="1"/>
        <v>4.861111111111111</v>
      </c>
      <c r="J55" s="2">
        <v>24.5624</v>
      </c>
      <c r="K55" s="2">
        <v>47.497</v>
      </c>
      <c r="L55" s="2">
        <f t="shared" si="0"/>
        <v>0.5171358191043645</v>
      </c>
      <c r="M55" s="4">
        <v>0.205341</v>
      </c>
      <c r="N55" s="1">
        <v>0.00567755</v>
      </c>
    </row>
    <row r="56" spans="1:14" ht="13.5">
      <c r="A56" t="s">
        <v>20</v>
      </c>
      <c r="B56">
        <v>1910</v>
      </c>
      <c r="C56" s="1">
        <v>109401000</v>
      </c>
      <c r="D56" s="1">
        <v>332772</v>
      </c>
      <c r="E56" s="1">
        <v>0.275775</v>
      </c>
      <c r="F56" s="1">
        <v>0.00294636</v>
      </c>
      <c r="G56" s="3">
        <v>406</v>
      </c>
      <c r="H56" s="3">
        <v>75</v>
      </c>
      <c r="I56" s="4">
        <f t="shared" si="1"/>
        <v>5.413333333333333</v>
      </c>
      <c r="J56" s="2">
        <v>39.4056</v>
      </c>
      <c r="K56" s="2">
        <v>70.0167</v>
      </c>
      <c r="L56" s="2">
        <f t="shared" si="0"/>
        <v>0.5628028741714477</v>
      </c>
      <c r="M56" s="4">
        <v>0.20179</v>
      </c>
      <c r="N56" s="1">
        <v>0.00463622</v>
      </c>
    </row>
    <row r="57" spans="1:14" ht="13.5">
      <c r="A57" t="s">
        <v>21</v>
      </c>
      <c r="B57">
        <v>1580</v>
      </c>
      <c r="C57" s="1">
        <v>33220700</v>
      </c>
      <c r="D57" s="1">
        <v>141507</v>
      </c>
      <c r="E57" s="1">
        <v>0.236415</v>
      </c>
      <c r="F57" s="1">
        <v>0.00458746</v>
      </c>
      <c r="G57" s="3">
        <v>630</v>
      </c>
      <c r="H57" s="3">
        <v>136</v>
      </c>
      <c r="I57" s="4">
        <f t="shared" si="1"/>
        <v>4.632352941176471</v>
      </c>
      <c r="J57" s="2">
        <v>9.29475</v>
      </c>
      <c r="K57" s="2">
        <v>21.2612</v>
      </c>
      <c r="L57" s="2">
        <f t="shared" si="0"/>
        <v>0.43716958591236627</v>
      </c>
      <c r="M57" s="4">
        <v>0.0896652</v>
      </c>
      <c r="N57" s="1">
        <v>0.0220761</v>
      </c>
    </row>
    <row r="58" spans="1:14" ht="13.5">
      <c r="A58" t="s">
        <v>21</v>
      </c>
      <c r="B58">
        <v>1630</v>
      </c>
      <c r="C58" s="1">
        <v>41374300</v>
      </c>
      <c r="D58" s="1">
        <v>149077</v>
      </c>
      <c r="E58" s="1">
        <v>0.244168</v>
      </c>
      <c r="F58" s="1">
        <v>0.00379739</v>
      </c>
      <c r="G58" s="3">
        <v>687</v>
      </c>
      <c r="H58" s="3">
        <v>148</v>
      </c>
      <c r="I58" s="4">
        <f t="shared" si="1"/>
        <v>4.641891891891892</v>
      </c>
      <c r="J58" s="2">
        <v>12.4999</v>
      </c>
      <c r="K58" s="2">
        <v>26.4796</v>
      </c>
      <c r="L58" s="2">
        <f t="shared" si="0"/>
        <v>0.4720577350111029</v>
      </c>
      <c r="M58" s="4">
        <v>0.101954</v>
      </c>
      <c r="N58" s="1">
        <v>0.0167475</v>
      </c>
    </row>
    <row r="59" spans="1:14" ht="13.5">
      <c r="A59" t="s">
        <v>21</v>
      </c>
      <c r="B59">
        <v>1680</v>
      </c>
      <c r="C59" s="1">
        <v>50431800</v>
      </c>
      <c r="D59" s="1">
        <v>180254</v>
      </c>
      <c r="E59" s="1">
        <v>0.25469</v>
      </c>
      <c r="F59" s="1">
        <v>0.00365327</v>
      </c>
      <c r="G59" s="3">
        <v>536</v>
      </c>
      <c r="H59" s="3">
        <v>107</v>
      </c>
      <c r="I59" s="4">
        <f t="shared" si="1"/>
        <v>5.009345794392523</v>
      </c>
      <c r="J59" s="2">
        <v>17.139</v>
      </c>
      <c r="K59" s="2">
        <v>32.2763</v>
      </c>
      <c r="L59" s="2">
        <f t="shared" si="0"/>
        <v>0.5310088207136505</v>
      </c>
      <c r="M59" s="4">
        <v>0.162267</v>
      </c>
      <c r="N59" s="1">
        <v>0.00938427</v>
      </c>
    </row>
    <row r="60" spans="1:14" ht="13.5">
      <c r="A60" t="s">
        <v>21</v>
      </c>
      <c r="B60">
        <v>1780</v>
      </c>
      <c r="C60" s="1">
        <v>75152800</v>
      </c>
      <c r="D60" s="1">
        <v>312985</v>
      </c>
      <c r="E60" s="1">
        <v>0.271361</v>
      </c>
      <c r="F60" s="1">
        <v>0.00441899</v>
      </c>
      <c r="G60" s="3">
        <v>272</v>
      </c>
      <c r="H60" s="3">
        <v>34</v>
      </c>
      <c r="I60" s="4">
        <f t="shared" si="1"/>
        <v>8</v>
      </c>
      <c r="J60" s="2">
        <v>29.2152</v>
      </c>
      <c r="K60" s="2">
        <v>48.0978</v>
      </c>
      <c r="L60" s="2">
        <f t="shared" si="0"/>
        <v>0.6074123972406222</v>
      </c>
      <c r="M60" s="4">
        <v>0.168271</v>
      </c>
      <c r="N60" s="1">
        <v>0.00748947</v>
      </c>
    </row>
    <row r="61" spans="1:14" ht="13.5">
      <c r="A61" t="s">
        <v>21</v>
      </c>
      <c r="B61">
        <v>1880</v>
      </c>
      <c r="C61" s="1">
        <v>112809000</v>
      </c>
      <c r="D61" s="1">
        <v>390210</v>
      </c>
      <c r="E61" s="1">
        <v>0.265966</v>
      </c>
      <c r="F61" s="1">
        <v>0.00379846</v>
      </c>
      <c r="G61" s="3">
        <v>256</v>
      </c>
      <c r="H61" s="3">
        <v>42</v>
      </c>
      <c r="I61" s="4">
        <f t="shared" si="1"/>
        <v>6.095238095238095</v>
      </c>
      <c r="J61" s="2">
        <v>44.6977</v>
      </c>
      <c r="K61" s="2">
        <v>72.198</v>
      </c>
      <c r="L61" s="2">
        <f t="shared" si="0"/>
        <v>0.6190988670046262</v>
      </c>
      <c r="M61" s="4">
        <v>0.186698</v>
      </c>
      <c r="N61" s="1">
        <v>0.00572452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3"/>
  <sheetViews>
    <sheetView tabSelected="1" workbookViewId="0" topLeftCell="A1">
      <selection activeCell="D3" sqref="D3"/>
    </sheetView>
  </sheetViews>
  <sheetFormatPr defaultColWidth="9.00390625" defaultRowHeight="13.5"/>
  <sheetData>
    <row r="1" spans="1:4" ht="13.5">
      <c r="A1" t="s">
        <v>32</v>
      </c>
      <c r="B1" t="s">
        <v>33</v>
      </c>
      <c r="C1" t="s">
        <v>34</v>
      </c>
      <c r="D1" t="s">
        <v>35</v>
      </c>
    </row>
    <row r="2" spans="1:4" ht="13.5">
      <c r="A2" t="s">
        <v>10</v>
      </c>
      <c r="B2">
        <v>1800</v>
      </c>
      <c r="C2" s="2">
        <v>2.21106</v>
      </c>
      <c r="D2" s="2">
        <v>0.178773</v>
      </c>
    </row>
    <row r="3" spans="1:4" ht="13.5">
      <c r="A3" t="s">
        <v>11</v>
      </c>
      <c r="B3">
        <v>1805</v>
      </c>
      <c r="C3" s="2">
        <v>2.3312</v>
      </c>
      <c r="D3" s="2">
        <v>0.17699</v>
      </c>
    </row>
    <row r="4" spans="1:4" ht="13.5">
      <c r="A4" t="s">
        <v>12</v>
      </c>
      <c r="B4">
        <v>1640</v>
      </c>
      <c r="C4" s="2">
        <v>2.26427</v>
      </c>
      <c r="D4" s="2">
        <v>0.169605</v>
      </c>
    </row>
    <row r="5" spans="1:4" ht="13.5">
      <c r="A5" t="s">
        <v>13</v>
      </c>
      <c r="B5">
        <v>1860</v>
      </c>
      <c r="C5" s="2">
        <v>2.16556</v>
      </c>
      <c r="D5" s="2">
        <v>0.146671</v>
      </c>
    </row>
    <row r="6" spans="1:4" ht="13.5">
      <c r="A6" t="s">
        <v>14</v>
      </c>
      <c r="B6">
        <v>2115</v>
      </c>
      <c r="C6" s="2">
        <v>2.1387</v>
      </c>
      <c r="D6" s="2">
        <v>0.131443</v>
      </c>
    </row>
    <row r="7" spans="1:4" ht="13.5">
      <c r="A7" t="s">
        <v>15</v>
      </c>
      <c r="B7">
        <v>1860</v>
      </c>
      <c r="C7" s="2">
        <v>2.19317</v>
      </c>
      <c r="D7" s="2">
        <v>0.168604</v>
      </c>
    </row>
    <row r="8" spans="1:4" ht="13.5">
      <c r="A8" t="s">
        <v>16</v>
      </c>
      <c r="B8">
        <v>1915</v>
      </c>
      <c r="C8" s="2">
        <v>2.24905</v>
      </c>
      <c r="D8" s="2">
        <v>0.190224</v>
      </c>
    </row>
    <row r="9" spans="1:4" ht="13.5">
      <c r="A9" t="s">
        <v>17</v>
      </c>
      <c r="B9">
        <v>1895</v>
      </c>
      <c r="C9" s="2">
        <v>2.17406</v>
      </c>
      <c r="D9" s="2">
        <v>0.155851</v>
      </c>
    </row>
    <row r="10" spans="1:4" ht="13.5">
      <c r="A10" t="s">
        <v>18</v>
      </c>
      <c r="B10">
        <v>1860</v>
      </c>
      <c r="C10" s="2">
        <v>2.20485</v>
      </c>
      <c r="D10" s="2">
        <v>0.171042</v>
      </c>
    </row>
    <row r="11" spans="1:4" ht="13.5">
      <c r="A11" t="s">
        <v>19</v>
      </c>
      <c r="B11">
        <v>1700</v>
      </c>
      <c r="C11" s="2">
        <v>2.21521</v>
      </c>
      <c r="D11" s="2">
        <v>0.15811</v>
      </c>
    </row>
    <row r="12" spans="1:4" ht="13.5">
      <c r="A12" t="s">
        <v>20</v>
      </c>
      <c r="B12">
        <v>1710</v>
      </c>
      <c r="C12" s="2">
        <v>2.22935</v>
      </c>
      <c r="D12" s="2">
        <v>0.175776</v>
      </c>
    </row>
    <row r="13" spans="1:4" ht="13.5">
      <c r="A13" t="s">
        <v>21</v>
      </c>
      <c r="B13">
        <v>1680</v>
      </c>
      <c r="C13" s="2">
        <v>2.18366</v>
      </c>
      <c r="D13" s="2">
        <v>0.163394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"/>
  <sheetViews>
    <sheetView workbookViewId="0" topLeftCell="A1">
      <selection activeCell="I3" sqref="I3"/>
    </sheetView>
  </sheetViews>
  <sheetFormatPr defaultColWidth="9.00390625" defaultRowHeight="13.5"/>
  <sheetData>
    <row r="1" spans="1:9" ht="13.5">
      <c r="A1" s="5" t="s">
        <v>23</v>
      </c>
      <c r="B1" s="5" t="s">
        <v>24</v>
      </c>
      <c r="C1" s="5" t="s">
        <v>25</v>
      </c>
      <c r="D1" s="5" t="s">
        <v>26</v>
      </c>
      <c r="E1" s="5" t="s">
        <v>27</v>
      </c>
      <c r="F1" s="5" t="s">
        <v>28</v>
      </c>
      <c r="G1" s="5" t="s">
        <v>29</v>
      </c>
      <c r="H1" s="5" t="s">
        <v>30</v>
      </c>
      <c r="I1" s="5" t="s">
        <v>31</v>
      </c>
    </row>
    <row r="2" spans="1:9" ht="13.5">
      <c r="A2" t="s">
        <v>10</v>
      </c>
      <c r="B2" s="6">
        <f>10000/5.62</f>
        <v>1779.3594306049822</v>
      </c>
      <c r="C2" s="6">
        <f>10000/5.97</f>
        <v>1675.0418760469013</v>
      </c>
      <c r="D2" s="6">
        <f>10000/6.72</f>
        <v>1488.095238095238</v>
      </c>
      <c r="E2" s="6">
        <f>10000/7.5</f>
        <v>1333.3333333333333</v>
      </c>
      <c r="F2" s="6">
        <f>10000/9.01</f>
        <v>1109.8779134295228</v>
      </c>
      <c r="G2" s="6">
        <f>10000/9.3</f>
        <v>1075.268817204301</v>
      </c>
      <c r="H2" s="6">
        <f>10000/9.69</f>
        <v>1031.9917440660474</v>
      </c>
      <c r="I2" s="6">
        <f>10000/10.12</f>
        <v>988.1422924901186</v>
      </c>
    </row>
    <row r="3" spans="1:9" ht="13.5">
      <c r="A3" t="s">
        <v>11</v>
      </c>
      <c r="B3" s="6">
        <f>10000/10.465</f>
        <v>955.5661729574773</v>
      </c>
      <c r="C3" s="6">
        <f>10000/11.306</f>
        <v>884.486113568017</v>
      </c>
      <c r="D3" s="6">
        <f>10000/11.887</f>
        <v>841.2551526878102</v>
      </c>
      <c r="E3" s="6">
        <f>10000/11.997</f>
        <v>833.541718763024</v>
      </c>
      <c r="F3" s="6">
        <f>10000/13.239</f>
        <v>755.3440592189742</v>
      </c>
      <c r="G3" s="6">
        <f>10000/15.242</f>
        <v>656.0818790185015</v>
      </c>
      <c r="H3" s="6">
        <f>10000/16.313</f>
        <v>613.0080304051984</v>
      </c>
      <c r="I3" s="6">
        <f>10000/17.054</f>
        <v>586.3726984871585</v>
      </c>
    </row>
    <row r="4" spans="1:9" ht="13.5">
      <c r="A4" t="s">
        <v>12</v>
      </c>
      <c r="B4" s="6">
        <f>10000/6.63</f>
        <v>1508.2956259426849</v>
      </c>
      <c r="C4" s="6">
        <f>10000/6.85</f>
        <v>1459.8540145985403</v>
      </c>
      <c r="D4" s="6">
        <f>10000/7.19</f>
        <v>1390.8205841446452</v>
      </c>
      <c r="E4" s="6">
        <f>10000/7.56</f>
        <v>1322.7513227513227</v>
      </c>
      <c r="F4" s="6">
        <f>10000/8.22</f>
        <v>1216.54501216545</v>
      </c>
      <c r="G4" s="6">
        <f>10000/8.97</f>
        <v>1114.8272017837235</v>
      </c>
      <c r="H4" s="6">
        <f>10000/9.72</f>
        <v>1028.8065843621398</v>
      </c>
      <c r="I4" s="6">
        <f>10000/10.31</f>
        <v>969.9321047526672</v>
      </c>
    </row>
    <row r="5" spans="1:9" ht="13.5">
      <c r="A5" t="s">
        <v>13</v>
      </c>
      <c r="B5" s="6">
        <f>10000/10.996</f>
        <v>909.4216078574027</v>
      </c>
      <c r="C5" s="6">
        <f>10000/11.827</f>
        <v>845.522955948254</v>
      </c>
      <c r="D5" s="6">
        <f>10000/12.859</f>
        <v>777.6654483241309</v>
      </c>
      <c r="E5" s="6">
        <f>10000/12.028</f>
        <v>831.3934153641503</v>
      </c>
      <c r="F5" s="6">
        <f>10000/13.209</f>
        <v>757.0595805889924</v>
      </c>
      <c r="G5" s="6">
        <f>10000/13.399</f>
        <v>746.3243525636242</v>
      </c>
      <c r="H5" s="6">
        <f>10000/14.3</f>
        <v>699.3006993006993</v>
      </c>
      <c r="I5" s="6">
        <f>10000/16.133</f>
        <v>619.8475175106925</v>
      </c>
    </row>
    <row r="6" spans="1:9" ht="13.5">
      <c r="A6" t="s">
        <v>14</v>
      </c>
      <c r="B6" s="6">
        <f>10000/8.723</f>
        <v>1146.3945890175398</v>
      </c>
      <c r="C6" s="6">
        <f>10000/10.185</f>
        <v>981.8360333824251</v>
      </c>
      <c r="D6" s="6">
        <f>10000/10.585</f>
        <v>944.733112895607</v>
      </c>
      <c r="E6" s="6">
        <f>10000/10.205</f>
        <v>979.9118079372856</v>
      </c>
      <c r="F6" s="6">
        <f>10000/12.157</f>
        <v>822.5713580653122</v>
      </c>
      <c r="G6" s="6">
        <f>10000/13.57</f>
        <v>736.9196757553426</v>
      </c>
      <c r="H6" s="6">
        <f>10000/15.051</f>
        <v>664.4076805527872</v>
      </c>
      <c r="I6" s="6">
        <f>10000/16.073</f>
        <v>622.1613886642194</v>
      </c>
    </row>
    <row r="7" spans="1:9" ht="13.5">
      <c r="A7" t="s">
        <v>15</v>
      </c>
      <c r="B7" s="6">
        <f>10000/9.083</f>
        <v>1100.957833314984</v>
      </c>
      <c r="C7" s="6">
        <f>10000/10.034</f>
        <v>996.6115208291807</v>
      </c>
      <c r="D7" s="6">
        <f>10000/10.886</f>
        <v>918.6110600771634</v>
      </c>
      <c r="E7" s="6">
        <f>10000/10.956</f>
        <v>912.7418765972983</v>
      </c>
      <c r="F7" s="6">
        <f>10000/12.367</f>
        <v>808.6035416835125</v>
      </c>
      <c r="G7" s="6">
        <f>10000/13.379</f>
        <v>747.4400179385605</v>
      </c>
      <c r="H7" s="6">
        <f>10000/15.012</f>
        <v>666.1337596589395</v>
      </c>
      <c r="I7" s="6">
        <f>10000/15.963</f>
        <v>626.4486625321056</v>
      </c>
    </row>
    <row r="8" spans="1:9" ht="13.5">
      <c r="A8" t="s">
        <v>16</v>
      </c>
      <c r="B8" s="6">
        <f>10000/6.396</f>
        <v>1563.4771732332708</v>
      </c>
      <c r="C8" s="6">
        <f>10000/7.211</f>
        <v>1386.7702121758425</v>
      </c>
      <c r="D8" s="6">
        <f>10000/7.322</f>
        <v>1365.7470636438131</v>
      </c>
      <c r="E8" s="6">
        <f>10000/7.141</f>
        <v>1400.3640946646128</v>
      </c>
      <c r="F8" s="6">
        <f>10000/10.289</f>
        <v>971.9117504130626</v>
      </c>
      <c r="G8" s="6">
        <f>10000/10.49</f>
        <v>953.2888465204957</v>
      </c>
      <c r="H8" s="6">
        <f>10000/11.202</f>
        <v>892.6977325477593</v>
      </c>
      <c r="I8" s="6">
        <f>10000/13.518</f>
        <v>739.7544015386891</v>
      </c>
    </row>
    <row r="9" spans="1:9" ht="13.5">
      <c r="A9" t="s">
        <v>17</v>
      </c>
      <c r="B9" s="6">
        <f>10000/5.047</f>
        <v>1981.3750743015653</v>
      </c>
      <c r="C9" s="6">
        <f>10000/5.235</f>
        <v>1910.219675262655</v>
      </c>
      <c r="D9" s="6">
        <f>10000/5.216</f>
        <v>1917.1779141104294</v>
      </c>
      <c r="E9" s="6">
        <f>10000/5.289</f>
        <v>1890.7165815844205</v>
      </c>
      <c r="F9" s="6">
        <f>10000/6.212</f>
        <v>1609.7875080489375</v>
      </c>
      <c r="G9" s="6">
        <f>10000/6.88</f>
        <v>1453.4883720930234</v>
      </c>
      <c r="H9" s="6">
        <f>10000/7.673</f>
        <v>1303.2712107389548</v>
      </c>
      <c r="I9" s="6">
        <f>10000/7.53</f>
        <v>1328.0212483399735</v>
      </c>
    </row>
    <row r="10" spans="1:9" ht="13.5">
      <c r="A10" t="s">
        <v>18</v>
      </c>
      <c r="B10" s="6">
        <f>10000/9.213</f>
        <v>1085.4227721697603</v>
      </c>
      <c r="C10" s="6">
        <f>10000/10.194</f>
        <v>980.9691975671963</v>
      </c>
      <c r="D10" s="6">
        <f>10000/10.665</f>
        <v>937.6465072667605</v>
      </c>
      <c r="E10" s="6">
        <f>10000/10.946</f>
        <v>913.575735428467</v>
      </c>
      <c r="F10" s="6">
        <f>10000/12.418</f>
        <v>805.2826542116284</v>
      </c>
      <c r="G10" s="6">
        <f>10000/13.249</f>
        <v>754.7739452034116</v>
      </c>
      <c r="H10" s="6">
        <f>10000/15.182</f>
        <v>658.6747464102226</v>
      </c>
      <c r="I10" s="6">
        <f>10000/15.973</f>
        <v>626.0564702936205</v>
      </c>
    </row>
    <row r="11" spans="1:9" ht="13.5">
      <c r="A11" t="s">
        <v>19</v>
      </c>
      <c r="B11" s="6">
        <f>10000/9.81</f>
        <v>1019.367991845056</v>
      </c>
      <c r="C11" s="6">
        <f>10000/10.97</f>
        <v>911.5770282588878</v>
      </c>
      <c r="D11" s="6">
        <f>10000/11.66</f>
        <v>857.6329331046312</v>
      </c>
      <c r="E11" s="6">
        <f>10000/12.02</f>
        <v>831.946755407654</v>
      </c>
      <c r="F11" s="6">
        <f>10000/13.69</f>
        <v>730.4601899196495</v>
      </c>
      <c r="G11" s="6">
        <f>10000/15.15</f>
        <v>660.0660066006601</v>
      </c>
      <c r="H11" s="6">
        <f>10000/16.22</f>
        <v>616.5228113440198</v>
      </c>
      <c r="I11" s="6">
        <f>10000/17.15</f>
        <v>583.0903790087464</v>
      </c>
    </row>
    <row r="12" spans="1:9" ht="13.5">
      <c r="A12" t="s">
        <v>20</v>
      </c>
      <c r="B12" s="6">
        <f>10000/14.12</f>
        <v>708.2152974504249</v>
      </c>
      <c r="C12" s="6">
        <f>10000/15.75</f>
        <v>634.9206349206349</v>
      </c>
      <c r="D12" s="6">
        <f>10000/16.87</f>
        <v>592.7682276229993</v>
      </c>
      <c r="E12" s="6">
        <f>10000/17.5</f>
        <v>571.4285714285714</v>
      </c>
      <c r="F12" s="6">
        <f>10000/19.22</f>
        <v>520.2913631633716</v>
      </c>
      <c r="G12" s="6">
        <f>10000/19.75</f>
        <v>506.32911392405066</v>
      </c>
      <c r="H12" s="6">
        <f>10000/20.65</f>
        <v>484.26150121065376</v>
      </c>
      <c r="I12" s="6">
        <f>10000/21.06</f>
        <v>474.8338081671415</v>
      </c>
    </row>
    <row r="13" spans="1:9" ht="13.5">
      <c r="A13" t="s">
        <v>21</v>
      </c>
      <c r="B13" s="6">
        <f>10000/9.294</f>
        <v>1075.9629868732516</v>
      </c>
      <c r="C13" s="6">
        <f>10000/9.553</f>
        <v>1046.7915837956662</v>
      </c>
      <c r="D13" s="6">
        <f>10000/10.134</f>
        <v>986.7771857114664</v>
      </c>
      <c r="E13" s="6">
        <f>10000/10.315</f>
        <v>969.4619486185168</v>
      </c>
      <c r="F13" s="6">
        <f>10000/11.326</f>
        <v>882.9242450997704</v>
      </c>
      <c r="G13" s="6">
        <f>10000/12.508</f>
        <v>799.488327470419</v>
      </c>
      <c r="H13" s="6">
        <f>10000/13.029</f>
        <v>767.518612326349</v>
      </c>
      <c r="I13" s="6">
        <f>10000/14.02</f>
        <v>713.2667617689016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Kazuhiro Fujimoto</dc:creator>
  <cp:keywords/>
  <dc:description/>
  <cp:lastModifiedBy>Kazuhiro Fujimoto</cp:lastModifiedBy>
  <dcterms:created xsi:type="dcterms:W3CDTF">2004-08-19T06:17:44Z</dcterms:created>
  <dcterms:modified xsi:type="dcterms:W3CDTF">2004-09-16T09:25:26Z</dcterms:modified>
  <cp:category/>
  <cp:version/>
  <cp:contentType/>
  <cp:contentStatus/>
</cp:coreProperties>
</file>